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VILA\"/>
    </mc:Choice>
  </mc:AlternateContent>
  <workbookProtection workbookAlgorithmName="SHA-512" workbookHashValue="zMv2v4pC0bPZdvVJuc9Yv2Zy64XK70NdYVBf6zzrmpOLz+rYUivvGSwnTVOsqKLhdX4H/K/NcRT4UA0jNgnBJQ==" workbookSaltValue="imgbNiq55W81UiZB8yzC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K18" i="2"/>
  <c r="F9" i="2"/>
  <c r="M13" i="2"/>
  <c r="N13" i="2"/>
  <c r="T13" i="12"/>
  <c r="BW17" i="20"/>
  <c r="BW16" i="20"/>
  <c r="BW15" i="20"/>
  <c r="BV10" i="16"/>
  <c r="BU16" i="17"/>
  <c r="T13" i="16"/>
  <c r="T16" i="11"/>
  <c r="P15" i="17"/>
  <c r="BL15" i="11"/>
  <c r="BH10" i="16"/>
  <c r="BM17" i="11"/>
  <c r="BM9" i="11"/>
  <c r="BK10" i="11"/>
  <c r="T13" i="20"/>
  <c r="BB13" i="13"/>
  <c r="BF9" i="8"/>
  <c r="J18" i="17"/>
  <c r="L17" i="2"/>
  <c r="V9" i="16"/>
  <c r="BG15" i="13"/>
  <c r="BA18" i="13"/>
  <c r="BE15" i="13"/>
  <c r="AO20" i="20"/>
  <c r="AN20" i="20"/>
  <c r="Y20" i="20"/>
  <c r="U10" i="11"/>
  <c r="AH20" i="20"/>
  <c r="AL20" i="20"/>
  <c r="AB20" i="20"/>
  <c r="AJ19" i="8" l="1"/>
  <c r="T19" i="8"/>
  <c r="AC10" i="11"/>
  <c r="H13" i="12"/>
  <c r="B13" i="7"/>
  <c r="H12" i="7"/>
  <c r="AO12" i="11"/>
  <c r="C17" i="6"/>
  <c r="AL12" i="11"/>
  <c r="E12" i="6"/>
  <c r="X12" i="21"/>
  <c r="V15" i="11"/>
  <c r="BM12" i="11"/>
  <c r="BJ15" i="11"/>
  <c r="BG15" i="11"/>
  <c r="AP17" i="20"/>
  <c r="T17" i="11"/>
  <c r="BH9" i="16"/>
  <c r="BJ17" i="11"/>
  <c r="BH15" i="16"/>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AP16" i="20"/>
  <c r="BH15" i="11"/>
  <c r="Q17" i="20"/>
  <c r="Q18" i="20" s="1"/>
  <c r="V11" i="16"/>
  <c r="BF17" i="11"/>
  <c r="BF16" i="11"/>
  <c r="S17" i="16"/>
  <c r="BL12" i="11"/>
  <c r="V17" i="16"/>
  <c r="BK11" i="11"/>
  <c r="AP10" i="21"/>
  <c r="BH9" i="11"/>
  <c r="BI15" i="11"/>
  <c r="BJ12" i="11"/>
  <c r="AP15" i="20"/>
  <c r="R17" i="20"/>
  <c r="R18" i="20" s="1"/>
  <c r="BK17" i="11"/>
  <c r="AZ9" i="11"/>
  <c r="AZ19" i="11" s="1"/>
  <c r="BU15" i="17"/>
  <c r="V10" i="16"/>
  <c r="L15" i="2"/>
  <c r="BH12" i="16"/>
  <c r="BF15" i="11"/>
  <c r="Q15" i="17"/>
  <c r="BL10" i="11"/>
  <c r="BF12" i="11"/>
  <c r="S15" i="16"/>
  <c r="AZ16" i="11"/>
  <c r="BV9" i="16"/>
  <c r="BU17" i="17"/>
  <c r="BU9" i="17"/>
  <c r="BV15" i="16"/>
  <c r="BV16" i="16"/>
  <c r="BW9" i="20"/>
  <c r="B10" i="6"/>
  <c r="H12" i="2"/>
  <c r="AY13" i="8"/>
  <c r="BG15" i="8"/>
  <c r="K15" i="7" s="1"/>
  <c r="BD16" i="8"/>
  <c r="L9" i="14"/>
  <c r="C10" i="6"/>
  <c r="AO17" i="11"/>
  <c r="L16" i="14"/>
  <c r="L17" i="14"/>
  <c r="F15" i="17"/>
  <c r="AQ15" i="17" s="1"/>
  <c r="L12" i="14"/>
  <c r="AY13" i="13"/>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M16" i="11"/>
  <c r="BG10" i="11"/>
  <c r="BH17" i="16"/>
  <c r="BL9" i="11"/>
  <c r="BH11" i="16"/>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E20" i="20"/>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P20" i="20"/>
  <c r="AP20" i="20"/>
  <c r="T20" i="20"/>
  <c r="AZ20" i="20"/>
  <c r="AC20" i="20"/>
  <c r="AM20" i="20"/>
  <c r="W20" i="20"/>
  <c r="I20" i="20"/>
  <c r="N20" i="20"/>
  <c r="AA20" i="20"/>
  <c r="G13" i="14"/>
  <c r="T20" i="21"/>
  <c r="F13" i="2" l="1"/>
  <c r="C13" i="6"/>
  <c r="BD13" i="13"/>
  <c r="J13" i="2"/>
  <c r="K9" i="12"/>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S20" i="17"/>
  <c r="AC20" i="17"/>
  <c r="AB20" i="16"/>
  <c r="P20" i="21"/>
  <c r="Y20" i="16"/>
  <c r="AP20" i="17"/>
  <c r="AA20" i="21"/>
  <c r="H20" i="12"/>
  <c r="I20" i="16"/>
  <c r="V20" i="11"/>
  <c r="I20" i="21"/>
  <c r="V20" i="21"/>
  <c r="BF20" i="16"/>
  <c r="AH20" i="17"/>
  <c r="AW20" i="17"/>
  <c r="BG20" i="16"/>
  <c r="AR20" i="16"/>
  <c r="AG20" i="11"/>
  <c r="R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AI20" i="11"/>
  <c r="AE20" i="11"/>
  <c r="AI20" i="21"/>
  <c r="AU20" i="11"/>
  <c r="U20" i="20"/>
  <c r="AN20" i="11"/>
  <c r="J20" i="11"/>
  <c r="K20" i="12"/>
  <c r="AF20" i="16"/>
  <c r="L20" i="17"/>
  <c r="Q20" i="17"/>
  <c r="AY20" i="11"/>
  <c r="BC20" i="21"/>
  <c r="BK20" i="16"/>
  <c r="S20" i="16"/>
  <c r="X20" i="11"/>
  <c r="AT20" i="17"/>
  <c r="AJ20" i="11"/>
  <c r="AU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<sst xmlns="http://schemas.openxmlformats.org/spreadsheetml/2006/main" count="2102" uniqueCount="917">
  <si>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</si>
  <si>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</si>
  <si>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</si>
  <si>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</si>
  <si>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</si>
  <si>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</si>
  <si>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</si>
  <si>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</si>
  <si>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</si>
  <si>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</si>
  <si>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</si>
  <si>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</si>
  <si>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</si>
  <si>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</si>
  <si>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</si>
  <si>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</si>
  <si>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</si>
  <si>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</si>
  <si>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</si>
  <si>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</si>
  <si>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</si>
  <si>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</si>
  <si>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</si>
  <si>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</si>
  <si>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</si>
  <si>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</si>
  <si>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</si>
  <si>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</si>
  <si>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</si>
  <si>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</si>
  <si>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</si>
  <si>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</si>
  <si>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</si>
  <si>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</si>
  <si>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</si>
  <si>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</si>
  <si>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</si>
  <si>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</si>
  <si>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</si>
  <si>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</si>
  <si>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</si>
  <si>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</si>
  <si>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</si>
  <si>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</si>
  <si>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</si>
  <si>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</si>
  <si>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</si>
  <si>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</si>
  <si>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</si>
  <si>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</si>
  <si>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</si>
  <si>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</si>
  <si>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</si>
  <si>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</si>
  <si>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</si>
  <si>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</si>
  <si>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</si>
  <si>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</si>
  <si>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</si>
  <si>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</si>
  <si>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</si>
  <si>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</si>
  <si>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</si>
  <si>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</si>
  <si>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</si>
  <si>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</si>
  <si>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</si>
  <si>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</si>
  <si>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</si>
  <si>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</si>
  <si>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</si>
  <si>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</si>
  <si>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</si>
  <si>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</si>
  <si>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</si>
  <si>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</si>
  <si>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</si>
  <si>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</si>
  <si>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</si>
  <si>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</si>
  <si>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</si>
  <si>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</si>
  <si>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</si>
  <si>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</si>
  <si>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</si>
  <si>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</si>
  <si>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</si>
  <si>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</si>
  <si>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</si>
  <si>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</si>
  <si>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</si>
  <si>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</si>
  <si>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</si>
  <si>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</si>
  <si>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</si>
  <si>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</si>
  <si>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</si>
  <si>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</si>
  <si>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</si>
  <si>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</si>
  <si>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</si>
  <si>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</si>
  <si>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</si>
  <si>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</si>
  <si>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</si>
  <si>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</si>
  <si>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</si>
  <si>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</si>
  <si>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</si>
  <si>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</si>
  <si>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</si>
  <si>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</si>
  <si>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</si>
  <si>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</si>
  <si>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</si>
  <si>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</si>
  <si>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</si>
  <si>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</si>
  <si>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</si>
  <si>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</si>
  <si>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</si>
  <si>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</si>
  <si>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</si>
  <si>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</si>
  <si>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</si>
  <si>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</si>
  <si>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</si>
  <si>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</si>
  <si>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</si>
  <si>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</si>
  <si>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</si>
  <si>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</si>
  <si>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</si>
  <si>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</si>
  <si>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</si>
  <si>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</si>
  <si>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</si>
  <si>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</si>
  <si>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</si>
  <si>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</si>
  <si>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</si>
  <si>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</si>
  <si>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</si>
  <si>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</si>
  <si>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</si>
  <si>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</si>
  <si>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</si>
  <si>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</si>
  <si>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</si>
  <si>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</si>
  <si>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</si>
  <si>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</si>
  <si>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</si>
  <si>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</si>
  <si>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</si>
  <si>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</si>
  <si>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</si>
  <si>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</si>
  <si>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</si>
  <si>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</si>
  <si>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</si>
  <si>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</si>
  <si>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</si>
  <si>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</si>
  <si>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</si>
  <si>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</si>
  <si>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</si>
  <si>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</si>
  <si>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</si>
  <si>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</si>
  <si>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</si>
  <si>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</si>
  <si>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</si>
  <si>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</si>
  <si>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</si>
  <si>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</si>
  <si>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</si>
  <si>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</si>
  <si>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</si>
  <si>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</si>
  <si>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</si>
  <si>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</si>
  <si>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</si>
  <si>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</si>
  <si>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</si>
  <si>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</si>
  <si>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</si>
  <si>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</si>
  <si>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</si>
  <si>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</si>
  <si>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</si>
  <si>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</si>
  <si>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</si>
  <si>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</si>
  <si>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</si>
  <si>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</si>
  <si>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</si>
  <si>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</si>
  <si>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</si>
  <si>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</si>
  <si>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</si>
  <si>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</si>
  <si>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</si>
  <si>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</si>
  <si>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</si>
  <si>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</si>
  <si>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</si>
  <si>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</si>
  <si>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</si>
  <si>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</si>
  <si>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</si>
  <si>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</si>
  <si>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</si>
  <si>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</si>
  <si>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</si>
  <si>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</si>
  <si>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</si>
  <si>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</si>
  <si>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</si>
  <si>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</si>
  <si>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</si>
  <si>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</si>
  <si>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</si>
  <si>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</si>
  <si>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</si>
  <si>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</si>
  <si>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</si>
  <si>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</si>
  <si>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</si>
  <si>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</si>
  <si>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</si>
  <si>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</si>
  <si>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</si>
  <si>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</si>
  <si>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</si>
  <si>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</si>
  <si>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</si>
  <si>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</si>
  <si>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</si>
  <si>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</si>
  <si>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</si>
  <si>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</si>
  <si>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</si>
  <si>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</si>
  <si>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</si>
  <si>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</si>
  <si>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</si>
  <si>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</si>
  <si>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</si>
  <si>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</si>
  <si>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</si>
  <si>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</si>
  <si>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</si>
  <si>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</si>
  <si>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</si>
  <si>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</si>
  <si>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</si>
  <si>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</si>
  <si>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</si>
  <si>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</si>
  <si>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</si>
  <si>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</si>
  <si>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</si>
  <si>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</si>
  <si>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</si>
  <si>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</si>
  <si>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</si>
  <si>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</si>
  <si>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</si>
  <si>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</si>
  <si>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</si>
  <si>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</si>
  <si>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</si>
  <si>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</si>
  <si>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</si>
  <si>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</si>
  <si>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</si>
  <si>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</si>
  <si>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</si>
  <si>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</si>
  <si>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</si>
  <si>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</si>
  <si>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</si>
  <si>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</si>
  <si>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</si>
  <si>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</si>
  <si>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</si>
  <si>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</si>
  <si>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</si>
  <si>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</si>
  <si>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</si>
  <si>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</si>
  <si>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</si>
  <si>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</si>
  <si>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</si>
  <si>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</si>
  <si>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</si>
  <si>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</si>
  <si>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</si>
  <si>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</si>
  <si>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</si>
  <si>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</si>
  <si>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</si>
  <si>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</si>
  <si>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</si>
  <si>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</si>
  <si>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</si>
  <si>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</si>
  <si>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</si>
  <si>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</si>
  <si>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</si>
  <si>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</si>
  <si>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</si>
  <si>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</si>
  <si>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</si>
  <si>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</si>
  <si>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</si>
  <si>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</si>
  <si>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</si>
  <si>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</si>
  <si>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</si>
  <si>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</si>
  <si>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</si>
  <si>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</si>
  <si>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</si>
  <si>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</si>
  <si>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</si>
  <si>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</si>
  <si>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</si>
  <si>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</si>
  <si>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</si>
  <si>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</si>
  <si>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</si>
  <si>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</si>
  <si>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</si>
  <si>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</si>
  <si>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</si>
  <si>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</si>
  <si>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</si>
  <si>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</si>
  <si>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</si>
  <si>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</si>
  <si>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</si>
  <si>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</si>
  <si>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</si>
  <si>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</si>
  <si>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</si>
  <si>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</si>
  <si>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</si>
  <si>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</si>
  <si>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</si>
  <si>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</si>
  <si>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</si>
  <si>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</si>
  <si>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</si>
  <si>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</si>
  <si>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</si>
  <si>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</si>
  <si>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</si>
  <si>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</si>
  <si>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</si>
  <si>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</si>
  <si>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</si>
  <si>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</si>
  <si>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</si>
  <si>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</si>
  <si>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</si>
  <si>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</si>
  <si>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</si>
  <si>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</si>
  <si>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</si>
  <si>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</si>
  <si>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</si>
  <si>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</si>
  <si>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</si>
  <si>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</si>
  <si>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</si>
  <si>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</si>
  <si>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</si>
  <si>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</si>
  <si>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</si>
  <si>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</si>
  <si>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</si>
  <si>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</si>
  <si>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</si>
  <si>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</si>
  <si>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</si>
  <si>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</si>
  <si>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</si>
  <si>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</si>
  <si>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</si>
  <si>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</si>
  <si>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</si>
  <si>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</si>
  <si>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</si>
  <si>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</si>
  <si>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</si>
  <si>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</si>
  <si>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</si>
  <si>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</si>
  <si>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</si>
  <si>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</si>
  <si>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</si>
  <si>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</si>
  <si>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</si>
  <si>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</si>
  <si>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</si>
  <si>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</si>
  <si>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</si>
  <si>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</si>
  <si>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</si>
  <si>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</si>
  <si>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</si>
  <si>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</si>
  <si>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</si>
  <si>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</si>
  <si>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</si>
  <si>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</si>
  <si>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</si>
  <si>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</si>
  <si>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</si>
  <si>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</si>
  <si>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</si>
  <si>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</si>
  <si>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</si>
  <si>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</si>
  <si>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</si>
  <si>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</si>
  <si>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</si>
  <si>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</si>
  <si>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</si>
  <si>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</si>
  <si>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</si>
  <si>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</si>
  <si>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</si>
  <si>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</si>
  <si>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</si>
  <si>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</si>
  <si>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</si>
  <si>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</si>
  <si>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</si>
  <si>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</si>
  <si>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</si>
  <si>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</si>
  <si>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</si>
  <si>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</si>
  <si>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</si>
  <si>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</si>
  <si>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</si>
  <si>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</si>
  <si>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</si>
  <si>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</si>
  <si>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</si>
  <si>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</si>
  <si>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</si>
  <si>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</si>
  <si>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</si>
  <si>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</si>
  <si>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</si>
  <si>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</si>
  <si>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</si>
  <si>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</si>
  <si>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</si>
  <si>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</si>
  <si>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</si>
  <si>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</si>
  <si>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</si>
  <si>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</si>
  <si>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</si>
  <si>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</si>
  <si>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</si>
  <si>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</si>
  <si>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</si>
  <si>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</si>
  <si>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</si>
  <si>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</si>
  <si>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</si>
  <si>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</si>
  <si>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</si>
  <si>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</si>
  <si>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</si>
  <si>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</si>
  <si>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</si>
  <si>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</si>
  <si>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</si>
  <si>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</si>
  <si>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</si>
  <si>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</si>
  <si>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</si>
  <si>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</si>
  <si>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</si>
  <si>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</si>
  <si>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</si>
  <si>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</si>
  <si>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</si>
  <si>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</si>
  <si>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</si>
  <si>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</si>
  <si>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</si>
  <si>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</si>
  <si>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</si>
  <si>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</si>
  <si>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</si>
  <si>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</si>
  <si>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</si>
  <si>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</si>
  <si>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</si>
  <si>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</si>
  <si>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</si>
  <si>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</si>
  <si>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</si>
  <si>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</si>
  <si>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</si>
  <si>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</si>
  <si>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</si>
  <si>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</si>
  <si>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</si>
  <si>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</si>
  <si>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</si>
  <si>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</si>
  <si>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</si>
  <si>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</si>
  <si>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</si>
  <si>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</si>
  <si>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</si>
  <si>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</si>
  <si>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</si>
  <si>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</si>
  <si>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</si>
  <si>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</si>
  <si>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</si>
  <si>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</si>
  <si>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</si>
  <si>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</si>
  <si>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</si>
  <si>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</si>
  <si>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</si>
  <si>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</si>
  <si>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</si>
  <si>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</si>
  <si>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</si>
  <si>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</si>
  <si>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</si>
  <si>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</si>
  <si>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</si>
  <si>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</si>
  <si>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</si>
  <si>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</si>
  <si>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</si>
  <si>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</si>
  <si>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</si>
  <si>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</si>
  <si>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</si>
  <si>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</si>
  <si>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</si>
  <si>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</si>
  <si>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</si>
  <si>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</si>
  <si>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</si>
  <si>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</si>
  <si>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</si>
  <si>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</si>
  <si>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</si>
  <si>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</si>
  <si>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</si>
  <si>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</si>
  <si>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</si>
  <si>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</si>
  <si>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</si>
  <si>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</si>
  <si>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</si>
  <si>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</si>
  <si>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</si>
  <si>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</si>
  <si>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</si>
  <si>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</si>
  <si>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</si>
  <si>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</si>
  <si>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</si>
  <si>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</si>
  <si>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</si>
  <si>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</si>
  <si>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</si>
  <si>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</si>
  <si>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</si>
  <si>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</si>
  <si>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</si>
  <si>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</si>
  <si>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</si>
  <si>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</si>
  <si>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</si>
  <si>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</si>
  <si>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</si>
  <si>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</si>
  <si>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</si>
  <si>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</si>
  <si>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</si>
  <si>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</si>
  <si>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</si>
  <si>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</si>
  <si>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</si>
  <si>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</si>
  <si>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</si>
  <si>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</si>
  <si>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</si>
  <si>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</si>
  <si>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</si>
  <si>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</si>
  <si>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</si>
  <si>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</si>
  <si>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</si>
  <si>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</si>
  <si>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</si>
  <si>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</si>
  <si>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</si>
  <si>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</si>
  <si>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</si>
  <si>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</si>
  <si>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</si>
  <si>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</si>
  <si>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</si>
  <si>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</si>
  <si>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</si>
  <si>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</si>
  <si>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</si>
  <si>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</si>
  <si>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</si>
  <si>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</si>
  <si>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</si>
  <si>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</si>
  <si>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</si>
  <si>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</si>
  <si>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</si>
  <si>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</si>
  <si>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</si>
  <si>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</si>
  <si>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</si>
  <si>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</si>
  <si>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</si>
  <si>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</si>
  <si>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</si>
  <si>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</si>
  <si>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</si>
  <si>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</si>
  <si>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</si>
  <si>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</si>
  <si>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</si>
  <si>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</si>
  <si>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</si>
  <si>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</si>
  <si>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</si>
  <si>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</si>
  <si>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</si>
  <si>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</si>
  <si>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</si>
  <si>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</si>
  <si>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</si>
  <si>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</si>
  <si>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</si>
  <si>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</si>
  <si>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</si>
  <si>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</si>
  <si>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</si>
  <si>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</si>
  <si>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</si>
  <si>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</si>
  <si>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</si>
  <si>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</si>
  <si>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</si>
  <si>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</si>
  <si>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</si>
  <si>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</si>
  <si>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</si>
  <si>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</si>
  <si>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</si>
  <si>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</si>
  <si>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</si>
  <si>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</si>
  <si>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</si>
  <si>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</si>
  <si>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</si>
  <si>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</si>
  <si>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</si>
  <si>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</si>
  <si>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</si>
  <si>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</si>
  <si>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</si>
  <si>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</si>
  <si>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</si>
  <si>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</si>
  <si>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</si>
  <si>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</si>
  <si>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</si>
  <si>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</si>
  <si>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</si>
  <si>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</si>
  <si>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</si>
  <si>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</si>
  <si>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</si>
  <si>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</si>
  <si>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</si>
  <si>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</si>
  <si>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</si>
  <si>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</si>
  <si>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</si>
  <si>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</si>
  <si>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</si>
  <si>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</si>
  <si>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</si>
  <si>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</si>
  <si>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</si>
  <si>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</si>
  <si>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</si>
  <si>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</si>
  <si>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</si>
  <si>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</si>
  <si>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</si>
  <si>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</si>
  <si>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</si>
  <si>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</si>
  <si>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</si>
  <si>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</si>
  <si>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</si>
  <si>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</si>
  <si>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</si>
  <si>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</si>
  <si>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</si>
  <si>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</si>
  <si>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</si>
  <si>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</si>
  <si>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</si>
  <si>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</si>
  <si>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</si>
  <si>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</si>
  <si>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</si>
  <si>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</si>
  <si>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</si>
  <si>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</si>
  <si>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</si>
  <si>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</si>
  <si>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</si>
  <si>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</si>
  <si>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</si>
  <si>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</si>
  <si>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</si>
  <si>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</si>
  <si>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</si>
  <si>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</si>
  <si>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</si>
  <si>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</si>
  <si>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</si>
  <si>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</si>
  <si>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</si>
  <si>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</si>
  <si>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</si>
  <si>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</si>
  <si>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</si>
  <si>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</si>
  <si>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</si>
  <si>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</si>
  <si>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</si>
  <si>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</si>
  <si>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</si>
  <si>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</si>
  <si>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</si>
  <si>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</si>
  <si>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</si>
  <si>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</si>
  <si>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</si>
  <si>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</si>
  <si>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</si>
  <si>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</si>
  <si>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</si>
  <si>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</si>
  <si>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</si>
  <si>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</si>
  <si>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</si>
  <si>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</si>
  <si>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</si>
  <si>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</si>
  <si>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</si>
  <si>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</si>
  <si>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</si>
  <si>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</si>
  <si>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</si>
  <si>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</si>
  <si>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</si>
  <si>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</si>
  <si>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</si>
  <si>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</si>
  <si>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</si>
  <si>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</si>
  <si>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</si>
  <si>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</si>
  <si>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</si>
  <si>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</si>
  <si>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</si>
  <si>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</si>
  <si>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</si>
  <si>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</si>
  <si>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</si>
  <si>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</si>
  <si>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</si>
  <si>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</si>
  <si>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</si>
  <si>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</si>
  <si>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</si>
  <si>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</si>
  <si>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</si>
  <si>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</si>
  <si>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</si>
  <si>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</si>
  <si>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</si>
  <si>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</si>
  <si>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</si>
  <si>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</si>
  <si>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</si>
  <si>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</si>
  <si>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</si>
  <si>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</si>
  <si>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</si>
  <si>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</si>
  <si>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</si>
  <si>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</si>
  <si>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</si>
  <si>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</si>
  <si>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</si>
  <si>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</si>
  <si>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</si>
  <si>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</si>
  <si>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</si>
  <si>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</si>
  <si>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</si>
  <si>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</si>
  <si>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</si>
  <si>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</si>
  <si>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</si>
  <si>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</si>
  <si>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</si>
  <si>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</si>
  <si>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</si>
  <si>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</si>
  <si>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</si>
  <si>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</si>
  <si>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</si>
  <si>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</si>
  <si>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</si>
  <si>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</si>
  <si>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</si>
  <si>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</si>
  <si>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</si>
  <si>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</si>
  <si>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</si>
  <si>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</si>
  <si>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</si>
  <si>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</si>
  <si>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</si>
  <si>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</si>
  <si>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</si>
  <si>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</si>
  <si>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</si>
  <si>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</si>
  <si>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</si>
  <si>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</si>
  <si>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</si>
  <si>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</si>
  <si>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</si>
  <si>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</si>
  <si>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</si>
  <si>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</si>
  <si>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</si>
  <si>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</si>
  <si>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</si>
  <si>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</si>
  <si>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</si>
  <si>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</si>
  <si>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</si>
  <si>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</si>
  <si>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</si>
  <si>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</si>
  <si>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</si>
  <si>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</si>
  <si>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</si>
  <si>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</si>
  <si>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</si>
  <si>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</si>
  <si>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</si>
  <si>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</si>
  <si>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</si>
  <si>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</si>
  <si>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</si>
  <si>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</si>
  <si>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</si>
  <si>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</si>
  <si>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</si>
  <si>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</si>
  <si>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</si>
  <si>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</si>
  <si>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</si>
  <si>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</si>
  <si>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</si>
  <si>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</si>
  <si>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</si>
  <si>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</si>
  <si>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</si>
  <si>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</si>
  <si>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</si>
  <si>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</si>
  <si>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</si>
  <si>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</si>
  <si>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</si>
  <si>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</si>
  <si>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</si>
  <si>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</si>
  <si>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AVILA</t>
  </si>
  <si>
    <t>Resumenes por Partidos Judiciales</t>
  </si>
  <si>
    <t>ARENAS DE SAN PEDRO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</si>
</sst>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9TIboHSn04A48Jgu490CNYQM3yIUxwCrkVym5CfVQc7XS1LGoMTJdcRQzF0SUL3o4vSVaS8jFm3uz+gLZRaFg==" saltValue="PQqhJ5+9iMye7CwZQCUX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2</v>
      </c>
      <c r="F10" s="226">
        <f>IF(ISNUMBER(Datos!K10),Datos!K10," - ")</f>
        <v>6</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-0.23529411764705882</v>
      </c>
      <c r="L10" s="1025">
        <f>IF(ISNUMBER(NºAsuntos!I10/NºAsuntos!G10),(NºAsuntos!I10/NºAsuntos!G10)*11," - ")</f>
        <v>23.833333333333332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30.264102564102565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936</v>
      </c>
      <c r="D16" s="225">
        <f>IF(ISNUMBER(IF(D_I="SI",Datos!I16,Datos!I16+Datos!AC16)),IF(D_I="SI",Datos!I16,Datos!I16+Datos!AC16)," - ")</f>
        <v>936</v>
      </c>
      <c r="E16" s="226">
        <f>IF(ISNUMBER(IF(D_I="SI",Datos!J16,Datos!J16+Datos!AD16)),IF(D_I="SI",Datos!J16,Datos!J16+Datos!AD16)," - ")</f>
        <v>300</v>
      </c>
      <c r="F16" s="226">
        <f>IF(ISNUMBER(IF(D_I="SI",Datos!K16,Datos!K16+Datos!AE16)),IF(D_I="SI",Datos!K16,Datos!K16+Datos!AE16)," - ")</f>
        <v>381</v>
      </c>
      <c r="G16" s="1034" t="str">
        <f>IF(Datos!E16&lt;&gt;"",Datos!E16,Datos!D16)</f>
        <v>04</v>
      </c>
      <c r="H16" s="227">
        <f>IF(ISNUMBER(IF(D_I="SI",Datos!L16,Datos!L16+Datos!AF16)),IF(D_I="SI",Datos!L16,Datos!L16+Datos!AF16)," - ")</f>
        <v>855</v>
      </c>
      <c r="I16" s="1044" t="str">
        <f>IF(ISNUMBER(Datos!AS16/Datos!BM16),Datos!AS16/Datos!BM16," - ")</f>
        <v xml:space="preserve"> - </v>
      </c>
      <c r="J16" s="1045">
        <f>IF(ISNUMBER(Datos!BY16/Datos!CN16),Datos!BY16/Datos!CN16," - ")</f>
        <v>0</v>
      </c>
      <c r="K16" s="230">
        <f t="shared" si="3"/>
        <v>-8.6538461538461536E-2</v>
      </c>
      <c r="L16" s="1025">
        <f>IF(ISNUMBER(NºAsuntos!I16/NºAsuntos!G16),(NºAsuntos!I16/NºAsuntos!G16)*11," - ")</f>
        <v>24.685039370078741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102</v>
      </c>
      <c r="D17" s="225">
        <f>IF(ISNUMBER(IF(D_I="SI",Datos!I17,Datos!I17+Datos!AC17)),IF(D_I="SI",Datos!I17,Datos!I17+Datos!AC17)," - ")</f>
        <v>102</v>
      </c>
      <c r="E17" s="226">
        <f>IF(ISNUMBER(IF(D_I="SI",Datos!J17,Datos!J17+Datos!AD17)),IF(D_I="SI",Datos!J17,Datos!J17+Datos!AD17)," - ")</f>
        <v>54</v>
      </c>
      <c r="F17" s="226">
        <f>IF(ISNUMBER(IF(D_I="SI",Datos!K17,Datos!K17+Datos!AE17)),IF(D_I="SI",Datos!K17,Datos!K17+Datos!AE17)," - ")</f>
        <v>45</v>
      </c>
      <c r="G17" s="1034" t="str">
        <f>IF(Datos!E17&lt;&gt;"",Datos!E17,Datos!D17)</f>
        <v>37</v>
      </c>
      <c r="H17" s="227">
        <f>IF(ISNUMBER(IF(D_I="SI",Datos!L17,Datos!L17+Datos!AF17)),IF(D_I="SI",Datos!L17,Datos!L17+Datos!AF17)," - ")</f>
        <v>111</v>
      </c>
      <c r="I17" s="1044" t="str">
        <f>IF(ISNUMBER(Datos!AS17/Datos!BM17),Datos!AS17/Datos!BM17," - ")</f>
        <v xml:space="preserve"> - </v>
      </c>
      <c r="J17" s="1045" t="str">
        <f>IF(ISNUMBER((Datos!BY17+Datos!BZ17)/Datos!CN17),(Datos!BY17+Datos!BZ17)/Datos!CN17," - ")</f>
        <v xml:space="preserve"> - </v>
      </c>
      <c r="K17" s="230">
        <f t="shared" si="3"/>
        <v>8.8235294117647065E-2</v>
      </c>
      <c r="L17" s="1025">
        <f>IF(ISNUMBER(NºAsuntos!I17/NºAsuntos!G17),(NºAsuntos!I17/NºAsuntos!G17)*11," - ")</f>
        <v>27.133333333333333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1038</v>
      </c>
      <c r="D18" s="1049">
        <f>SUBTOTAL(9,D15:D17)</f>
        <v>1038</v>
      </c>
      <c r="E18" s="1050">
        <f>SUBTOTAL(9,E15:E17)</f>
        <v>354</v>
      </c>
      <c r="F18" s="1050">
        <f>SUBTOTAL(9,F15:F17)</f>
        <v>426</v>
      </c>
      <c r="G18" s="1052" t="str">
        <f ca="1">INDIRECT(CONCATENATE("G",ROW()-1))</f>
        <v>37</v>
      </c>
      <c r="H18" s="1053">
        <f ca="1">SUMIF(G$14:G17,G18,H$14:H17)</f>
        <v>111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1055</v>
      </c>
      <c r="D19" s="1071">
        <f>SUBTOTAL(9,D9:D18)</f>
        <v>1055</v>
      </c>
      <c r="E19" s="1072">
        <f>SUBTOTAL(9,E9:E18)</f>
        <v>356</v>
      </c>
      <c r="F19" s="1072">
        <f>SUBTOTAL(9,F9:F18)</f>
        <v>432</v>
      </c>
      <c r="G19" s="1073"/>
      <c r="H19" s="1074">
        <f ca="1">SUMIF(B9:B18,"TOTAL",H9:H18)</f>
        <v>111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7B3sRmzBrRoBliCHi7TpM4m9l5UgUw22Nw6yx/DhhvR7RY7nGknIaNgYYZjGHpln5blbEo5fVRdn9h4L37IP7w==" saltValue="tsiMh9cgib+Yc4bj3htXX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8CBq8jjhy5L3aPU38E55idDq1phVTIYWL10U+cfeUmyrafa252ISGHu3RGnnmc9qKIXcFHjlw9lCTgyZhCow==" saltValue="ZH5f+bcvpI1CzZXh08os0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2</v>
      </c>
      <c r="K10" s="181">
        <v>6</v>
      </c>
      <c r="L10" s="181">
        <v>13</v>
      </c>
      <c r="M10" s="181">
        <v>6</v>
      </c>
      <c r="N10" s="181">
        <v>0</v>
      </c>
      <c r="O10" s="181">
        <v>0</v>
      </c>
      <c r="P10" s="181">
        <v>0</v>
      </c>
      <c r="Q10" s="181">
        <v>2</v>
      </c>
      <c r="R10" s="181">
        <v>0</v>
      </c>
      <c r="S10" s="181">
        <v>12</v>
      </c>
      <c r="T10" s="181">
        <v>7</v>
      </c>
      <c r="U10" s="181">
        <v>0</v>
      </c>
      <c r="V10" s="181">
        <v>19</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12</v>
      </c>
      <c r="AZ10" s="129">
        <f t="shared" si="0"/>
        <v>7</v>
      </c>
      <c r="BA10" s="129">
        <f t="shared" si="0"/>
        <v>0</v>
      </c>
      <c r="BB10" s="129">
        <f t="shared" si="0"/>
        <v>19</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743</v>
      </c>
      <c r="J12" s="183">
        <v>692</v>
      </c>
      <c r="K12" s="183">
        <v>376</v>
      </c>
      <c r="L12" s="183">
        <v>1059</v>
      </c>
      <c r="M12" s="183">
        <v>95</v>
      </c>
      <c r="N12" s="183">
        <v>48</v>
      </c>
      <c r="O12" s="181">
        <v>198</v>
      </c>
      <c r="P12" s="183">
        <v>90</v>
      </c>
      <c r="Q12" s="183">
        <v>139</v>
      </c>
      <c r="R12" s="183">
        <v>1393</v>
      </c>
      <c r="S12" s="183">
        <v>767</v>
      </c>
      <c r="T12" s="183">
        <v>398</v>
      </c>
      <c r="U12" s="183">
        <v>447</v>
      </c>
      <c r="V12" s="183">
        <v>718</v>
      </c>
      <c r="W12" s="183">
        <v>73</v>
      </c>
      <c r="X12" s="189">
        <v>76</v>
      </c>
      <c r="Y12" s="191">
        <v>19</v>
      </c>
      <c r="Z12" s="181">
        <v>9</v>
      </c>
      <c r="AA12" s="181">
        <v>14</v>
      </c>
      <c r="AB12" s="181">
        <v>14</v>
      </c>
      <c r="AC12" s="183">
        <v>0</v>
      </c>
      <c r="AD12" s="183">
        <v>0</v>
      </c>
      <c r="AE12" s="183">
        <v>0</v>
      </c>
      <c r="AF12" s="189">
        <v>0</v>
      </c>
      <c r="AG12" s="202">
        <v>25</v>
      </c>
      <c r="AH12" s="183">
        <v>7</v>
      </c>
      <c r="AI12" s="183">
        <v>14</v>
      </c>
      <c r="AJ12" s="203">
        <v>18</v>
      </c>
      <c r="AK12" s="182">
        <v>0</v>
      </c>
      <c r="AL12" s="183">
        <v>0</v>
      </c>
      <c r="AM12" s="183">
        <v>0</v>
      </c>
      <c r="AN12" s="189">
        <v>0</v>
      </c>
      <c r="AO12" s="259">
        <v>2</v>
      </c>
      <c r="AP12" s="155">
        <v>2</v>
      </c>
      <c r="AQ12" s="155">
        <v>2</v>
      </c>
      <c r="AR12" s="154">
        <v>2</v>
      </c>
      <c r="AS12" s="340" t="s">
        <v>801</v>
      </c>
      <c r="AT12" s="203"/>
      <c r="AU12" s="202"/>
      <c r="AV12" s="203"/>
      <c r="AW12" s="202"/>
      <c r="AX12" s="203"/>
      <c r="AY12" s="126">
        <f t="shared" si="1"/>
        <v>792</v>
      </c>
      <c r="AZ12" s="127">
        <f t="shared" si="1"/>
        <v>405</v>
      </c>
      <c r="BA12" s="127">
        <f t="shared" si="1"/>
        <v>461</v>
      </c>
      <c r="BB12" s="127">
        <f t="shared" si="1"/>
        <v>736</v>
      </c>
      <c r="BC12" s="125">
        <f>IF(ISNUMBER(X12),X12," - ")</f>
        <v>76</v>
      </c>
      <c r="BD12" s="126">
        <f t="shared" si="2"/>
        <v>1.1382716049382715</v>
      </c>
      <c r="BE12" s="127">
        <f t="shared" si="3"/>
        <v>1.5965292841648591</v>
      </c>
      <c r="BF12" s="127">
        <f t="shared" si="4"/>
        <v>0.16485900216919741</v>
      </c>
      <c r="BG12" s="196">
        <f t="shared" si="5"/>
        <v>2.5965292841648591</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760</v>
      </c>
      <c r="J13" s="184">
        <f t="shared" si="6"/>
        <v>694</v>
      </c>
      <c r="K13" s="184">
        <f t="shared" si="6"/>
        <v>382</v>
      </c>
      <c r="L13" s="184">
        <f t="shared" si="6"/>
        <v>1072</v>
      </c>
      <c r="M13" s="184">
        <f t="shared" si="6"/>
        <v>101</v>
      </c>
      <c r="N13" s="184">
        <f t="shared" si="6"/>
        <v>48</v>
      </c>
      <c r="O13" s="184">
        <f t="shared" si="6"/>
        <v>198</v>
      </c>
      <c r="P13" s="184">
        <f t="shared" si="6"/>
        <v>90</v>
      </c>
      <c r="Q13" s="184">
        <f t="shared" si="6"/>
        <v>141</v>
      </c>
      <c r="R13" s="184">
        <f t="shared" si="6"/>
        <v>1393</v>
      </c>
      <c r="S13" s="184">
        <f t="shared" si="6"/>
        <v>779</v>
      </c>
      <c r="T13" s="184">
        <f t="shared" si="6"/>
        <v>405</v>
      </c>
      <c r="U13" s="184">
        <f t="shared" si="6"/>
        <v>447</v>
      </c>
      <c r="V13" s="184">
        <f t="shared" si="6"/>
        <v>737</v>
      </c>
      <c r="W13" s="184">
        <f t="shared" si="6"/>
        <v>73</v>
      </c>
      <c r="X13" s="184">
        <f t="shared" si="6"/>
        <v>76</v>
      </c>
      <c r="Y13" s="184">
        <f t="shared" si="6"/>
        <v>19</v>
      </c>
      <c r="Z13" s="184">
        <f t="shared" si="6"/>
        <v>9</v>
      </c>
      <c r="AA13" s="184">
        <f t="shared" si="6"/>
        <v>14</v>
      </c>
      <c r="AB13" s="184">
        <f t="shared" si="6"/>
        <v>14</v>
      </c>
      <c r="AC13" s="184">
        <f t="shared" si="6"/>
        <v>0</v>
      </c>
      <c r="AD13" s="184">
        <f t="shared" si="6"/>
        <v>0</v>
      </c>
      <c r="AE13" s="184">
        <f t="shared" si="6"/>
        <v>0</v>
      </c>
      <c r="AF13" s="184">
        <f>SUBTOTAL(9,AF9:AF12)</f>
        <v>0</v>
      </c>
      <c r="AG13" s="184">
        <f t="shared" ref="AG13:AT13" si="7">SUBTOTAL(9,AG8:AG12)</f>
        <v>25</v>
      </c>
      <c r="AH13" s="184">
        <f t="shared" si="7"/>
        <v>7</v>
      </c>
      <c r="AI13" s="184">
        <f t="shared" si="7"/>
        <v>14</v>
      </c>
      <c r="AJ13" s="184">
        <f t="shared" si="7"/>
        <v>18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804</v>
      </c>
      <c r="AZ13" s="184">
        <f>SUBTOTAL(9,AZ8:AZ12)</f>
        <v>412</v>
      </c>
      <c r="BA13" s="184">
        <f>SUBTOTAL(9,BA8:BA12)</f>
        <v>461</v>
      </c>
      <c r="BB13" s="184">
        <f>SUBTOTAL(9,BB8:BB12)</f>
        <v>755</v>
      </c>
      <c r="BC13" s="184">
        <f>SUBTOTAL(9,BC8:BC12)</f>
        <v>76</v>
      </c>
      <c r="BD13" s="205">
        <f>IF(ISNUMBER(BA13/AZ13),BA13/AZ13," - ")</f>
        <v>1.1189320388349515</v>
      </c>
      <c r="BE13" s="206">
        <f>IF(ISNUMBER(BB13/BA13),BB13/BA13, " - ")</f>
        <v>1.6377440347071583</v>
      </c>
      <c r="BF13" s="206">
        <f>IF(ISNUMBER(BC13/BA13),BC13/BA13, " - ")</f>
        <v>0.16485900216919741</v>
      </c>
      <c r="BG13" s="207">
        <f>IF(ISNUMBER((AY13+AZ13)/BA13),(AY13+AZ13)/BA13," - ")</f>
        <v>2.6377440347071586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936</v>
      </c>
      <c r="J16" s="183">
        <v>300</v>
      </c>
      <c r="K16" s="183">
        <v>381</v>
      </c>
      <c r="L16" s="183">
        <v>855</v>
      </c>
      <c r="M16" s="183">
        <v>44</v>
      </c>
      <c r="N16" s="183">
        <v>219</v>
      </c>
      <c r="O16" s="181">
        <v>0</v>
      </c>
      <c r="P16" s="183">
        <v>7</v>
      </c>
      <c r="Q16" s="183">
        <v>10</v>
      </c>
      <c r="R16" s="183">
        <v>91</v>
      </c>
      <c r="S16" s="183">
        <v>826</v>
      </c>
      <c r="T16" s="183">
        <v>319</v>
      </c>
      <c r="U16" s="183">
        <v>448</v>
      </c>
      <c r="V16" s="183">
        <v>697</v>
      </c>
      <c r="W16" s="183">
        <v>45</v>
      </c>
      <c r="X16" s="189">
        <v>327</v>
      </c>
      <c r="Y16" s="202">
        <v>0</v>
      </c>
      <c r="Z16" s="183">
        <v>0</v>
      </c>
      <c r="AA16" s="183">
        <v>0</v>
      </c>
      <c r="AB16" s="183">
        <v>0</v>
      </c>
      <c r="AC16" s="183">
        <v>0</v>
      </c>
      <c r="AD16" s="183">
        <v>0</v>
      </c>
      <c r="AE16" s="183">
        <v>0</v>
      </c>
      <c r="AF16" s="189">
        <v>0</v>
      </c>
      <c r="AG16" s="202">
        <v>0</v>
      </c>
      <c r="AH16" s="183">
        <v>0</v>
      </c>
      <c r="AI16" s="183">
        <v>0</v>
      </c>
      <c r="AJ16" s="203">
        <v>0</v>
      </c>
      <c r="AK16" s="182">
        <v>1</v>
      </c>
      <c r="AL16" s="183">
        <v>2</v>
      </c>
      <c r="AM16" s="183">
        <v>2</v>
      </c>
      <c r="AN16" s="189">
        <v>1</v>
      </c>
      <c r="AO16" s="259">
        <v>2</v>
      </c>
      <c r="AP16" s="155">
        <v>2</v>
      </c>
      <c r="AQ16" s="155">
        <v>2</v>
      </c>
      <c r="AR16" s="155">
        <v>2</v>
      </c>
      <c r="AS16" s="340" t="s">
        <v>487</v>
      </c>
      <c r="AT16" s="203"/>
      <c r="AU16" s="202"/>
      <c r="AV16" s="203"/>
      <c r="AW16" s="202"/>
      <c r="AX16" s="203"/>
      <c r="AY16" s="126">
        <f t="shared" si="9"/>
        <v>826</v>
      </c>
      <c r="AZ16" s="127">
        <f t="shared" si="9"/>
        <v>319</v>
      </c>
      <c r="BA16" s="127">
        <f t="shared" si="9"/>
        <v>448</v>
      </c>
      <c r="BB16" s="127">
        <f t="shared" si="9"/>
        <v>697</v>
      </c>
      <c r="BC16" s="125">
        <f>IF(ISNUMBER(W16),W16," - ")</f>
        <v>45</v>
      </c>
      <c r="BD16" s="126">
        <f t="shared" ref="BD16" si="11">IF(ISNUMBER(BA16/AZ16),BA16/AZ16," - ")</f>
        <v>1.4043887147335423</v>
      </c>
      <c r="BE16" s="127">
        <f t="shared" ref="BE16" si="12">IF(ISNUMBER(BB16/BA16),BB16/BA16, " - ")</f>
        <v>1.5558035714285714</v>
      </c>
      <c r="BF16" s="127">
        <f t="shared" ref="BF16" si="13">IF(ISNUMBER(BC16/BA16),BC16/BA16, " - ")</f>
        <v>0.10044642857142858</v>
      </c>
      <c r="BG16" s="196">
        <f t="shared" si="10"/>
        <v>2.5558035714285716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102</v>
      </c>
      <c r="J17" s="183">
        <v>54</v>
      </c>
      <c r="K17" s="183">
        <v>45</v>
      </c>
      <c r="L17" s="183">
        <v>111</v>
      </c>
      <c r="M17" s="183">
        <v>2</v>
      </c>
      <c r="N17" s="183">
        <v>20</v>
      </c>
      <c r="O17" s="183">
        <v>0</v>
      </c>
      <c r="P17" s="183">
        <v>0</v>
      </c>
      <c r="Q17" s="183">
        <v>0</v>
      </c>
      <c r="R17" s="183">
        <v>0</v>
      </c>
      <c r="S17" s="183">
        <v>139</v>
      </c>
      <c r="T17" s="183">
        <v>36</v>
      </c>
      <c r="U17" s="183">
        <v>59</v>
      </c>
      <c r="V17" s="183">
        <v>116</v>
      </c>
      <c r="W17" s="183">
        <v>1</v>
      </c>
      <c r="X17" s="189">
        <v>41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139</v>
      </c>
      <c r="AZ17" s="129">
        <f t="shared" si="14"/>
        <v>36</v>
      </c>
      <c r="BA17" s="129">
        <f t="shared" si="14"/>
        <v>59</v>
      </c>
      <c r="BB17" s="129">
        <f t="shared" si="14"/>
        <v>116</v>
      </c>
      <c r="BC17" s="125">
        <f>IF(ISNUMBER(W17),W17," - ")</f>
        <v>1</v>
      </c>
      <c r="BD17" s="126">
        <f>IF(ISNUMBER(BA17/AZ17),BA17/AZ17," - ")</f>
        <v>1.6388888888888888</v>
      </c>
      <c r="BE17" s="127">
        <f>IF(ISNUMBER(BB17/BA17),BB17/BA17, " - ")</f>
        <v>1.9661016949152543</v>
      </c>
      <c r="BF17" s="127">
        <f>IF(ISNUMBER(BC17/BA17),BC17/BA17, " - ")</f>
        <v>1.6949152542372881E-2</v>
      </c>
      <c r="BG17" s="196">
        <f>IF(ISNUMBER((AY17+AZ17)/BA17),(AY17+AZ17)/BA17," - ")</f>
        <v>2.9661016949152543</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1038</v>
      </c>
      <c r="J18" s="184">
        <f t="shared" si="15"/>
        <v>354</v>
      </c>
      <c r="K18" s="184">
        <f t="shared" si="15"/>
        <v>426</v>
      </c>
      <c r="L18" s="184">
        <f t="shared" si="15"/>
        <v>966</v>
      </c>
      <c r="M18" s="184">
        <f t="shared" si="15"/>
        <v>46</v>
      </c>
      <c r="N18" s="184">
        <f t="shared" si="15"/>
        <v>239</v>
      </c>
      <c r="O18" s="184">
        <f t="shared" si="15"/>
        <v>0</v>
      </c>
      <c r="P18" s="184">
        <f t="shared" si="15"/>
        <v>7</v>
      </c>
      <c r="Q18" s="184">
        <f t="shared" si="15"/>
        <v>10</v>
      </c>
      <c r="R18" s="184">
        <f t="shared" si="15"/>
        <v>91</v>
      </c>
      <c r="S18" s="184">
        <f t="shared" si="15"/>
        <v>965</v>
      </c>
      <c r="T18" s="184">
        <f t="shared" si="15"/>
        <v>355</v>
      </c>
      <c r="U18" s="184">
        <f t="shared" si="15"/>
        <v>507</v>
      </c>
      <c r="V18" s="184">
        <f t="shared" si="15"/>
        <v>813</v>
      </c>
      <c r="W18" s="184">
        <f t="shared" si="15"/>
        <v>46</v>
      </c>
      <c r="X18" s="184">
        <f t="shared" si="15"/>
        <v>368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2</v>
      </c>
      <c r="AM18" s="184">
        <f t="shared" si="15"/>
        <v>2</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965</v>
      </c>
      <c r="AZ18" s="184">
        <f>SUBTOTAL(9,AZ14:AZ17)</f>
        <v>355</v>
      </c>
      <c r="BA18" s="184">
        <f>SUBTOTAL(9,BA14:BA17)</f>
        <v>507</v>
      </c>
      <c r="BB18" s="184">
        <f>SUBTOTAL(9,BB14:BB17)</f>
        <v>813</v>
      </c>
      <c r="BC18" s="184">
        <f>SUBTOTAL(9,BC14:BC17)</f>
        <v>46</v>
      </c>
      <c r="BD18" s="205">
        <f>IF(ISNUMBER(BA18/AZ18),BA18/AZ18," - ")</f>
        <v>1.4281690140845071</v>
      </c>
      <c r="BE18" s="206">
        <f>IF(ISNUMBER(BB18/BA18),BB18/BA18, " - ")</f>
        <v>1.6035502958579881</v>
      </c>
      <c r="BF18" s="206">
        <f>IF(ISNUMBER(BC18/BA18),BC18/BA18, " - ")</f>
        <v>9.0729783037475351E-2</v>
      </c>
      <c r="BG18" s="207">
        <f>IF(ISNUMBER((AY18+AZ18)/BA18),(AY18+AZ18)/BA18," - ")</f>
        <v>2.6035502958579881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1798</v>
      </c>
      <c r="J19" s="134">
        <f t="shared" si="18"/>
        <v>1048</v>
      </c>
      <c r="K19" s="134">
        <f t="shared" si="18"/>
        <v>808</v>
      </c>
      <c r="L19" s="134">
        <f t="shared" si="18"/>
        <v>2038</v>
      </c>
      <c r="M19" s="134">
        <f t="shared" si="18"/>
        <v>147</v>
      </c>
      <c r="N19" s="134">
        <f t="shared" si="18"/>
        <v>287</v>
      </c>
      <c r="O19" s="134">
        <f t="shared" si="18"/>
        <v>198</v>
      </c>
      <c r="P19" s="134">
        <f t="shared" si="18"/>
        <v>97</v>
      </c>
      <c r="Q19" s="134">
        <f t="shared" si="18"/>
        <v>151</v>
      </c>
      <c r="R19" s="134">
        <f t="shared" si="18"/>
        <v>1484</v>
      </c>
      <c r="S19" s="134">
        <f t="shared" si="18"/>
        <v>1744</v>
      </c>
      <c r="T19" s="134">
        <f t="shared" si="18"/>
        <v>760</v>
      </c>
      <c r="U19" s="134">
        <f t="shared" si="18"/>
        <v>954</v>
      </c>
      <c r="V19" s="134">
        <f t="shared" si="18"/>
        <v>1550</v>
      </c>
      <c r="W19" s="134">
        <f t="shared" si="18"/>
        <v>119</v>
      </c>
      <c r="X19" s="134">
        <f t="shared" si="18"/>
        <v>444</v>
      </c>
      <c r="Y19" s="134">
        <f t="shared" si="18"/>
        <v>19</v>
      </c>
      <c r="Z19" s="134">
        <f t="shared" si="18"/>
        <v>9</v>
      </c>
      <c r="AA19" s="134">
        <f t="shared" si="18"/>
        <v>14</v>
      </c>
      <c r="AB19" s="134">
        <f t="shared" si="18"/>
        <v>14</v>
      </c>
      <c r="AC19" s="134">
        <f t="shared" si="18"/>
        <v>0</v>
      </c>
      <c r="AD19" s="134">
        <f t="shared" si="18"/>
        <v>0</v>
      </c>
      <c r="AE19" s="134">
        <f t="shared" si="18"/>
        <v>0</v>
      </c>
      <c r="AF19" s="134">
        <f t="shared" si="18"/>
        <v>0</v>
      </c>
      <c r="AG19" s="134">
        <f t="shared" si="18"/>
        <v>25</v>
      </c>
      <c r="AH19" s="134">
        <f t="shared" si="18"/>
        <v>7</v>
      </c>
      <c r="AI19" s="134">
        <f t="shared" si="18"/>
        <v>14</v>
      </c>
      <c r="AJ19" s="134">
        <f t="shared" si="18"/>
        <v>18</v>
      </c>
      <c r="AK19" s="134">
        <f t="shared" si="18"/>
        <v>1</v>
      </c>
      <c r="AL19" s="134">
        <f t="shared" si="18"/>
        <v>2</v>
      </c>
      <c r="AM19" s="134">
        <f t="shared" si="18"/>
        <v>2</v>
      </c>
      <c r="AN19" s="210">
        <f t="shared" si="18"/>
        <v>1</v>
      </c>
      <c r="AO19" s="211">
        <v>3</v>
      </c>
      <c r="AP19" s="211">
        <v>2</v>
      </c>
      <c r="AQ19" s="211">
        <v>2</v>
      </c>
      <c r="AR19" s="211">
        <v>2</v>
      </c>
      <c r="AS19" s="153">
        <f t="shared" si="18"/>
        <v>0</v>
      </c>
      <c r="AT19" s="153">
        <f t="shared" si="18"/>
        <v>0</v>
      </c>
      <c r="AU19" s="211"/>
      <c r="AV19" s="212"/>
      <c r="AW19" s="211"/>
      <c r="AX19" s="212"/>
      <c r="AY19" s="133">
        <f>SUBTOTAL(9,AY9:AY18)</f>
        <v>1769</v>
      </c>
      <c r="AZ19" s="134">
        <f>SUBTOTAL(9,AZ9:AZ18)</f>
        <v>767</v>
      </c>
      <c r="BA19" s="134">
        <f>SUBTOTAL(9,BA9:BA18)</f>
        <v>968</v>
      </c>
      <c r="BB19" s="134">
        <f>SUBTOTAL(9,BB9:BB18)</f>
        <v>1568</v>
      </c>
      <c r="BC19" s="135">
        <f>SUBTOTAL(9,BC9:BC18)</f>
        <v>122</v>
      </c>
      <c r="BD19" s="213">
        <f>IF(ISNUMBER(BA19/AZ19),BA19/AZ19," - ")</f>
        <v>1.2620599739243807</v>
      </c>
      <c r="BE19" s="210">
        <f>IF(ISNUMBER(BB19/BA19),BB19/BA19, " - ")</f>
        <v>1.6198347107438016</v>
      </c>
      <c r="BF19" s="210">
        <f>IF(ISNUMBER(BC19/BA19),BC19/BA19, " - ")</f>
        <v>0.12603305785123967</v>
      </c>
      <c r="BG19" s="135">
        <f>IF(ISNUMBER((AY19+AZ19)/BA19),(AY19+AZ19)/BA19," - ")</f>
        <v>2.6198347107438016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OSNen/oVKUnZ3kn9u4LUq7wwB/t98Ngvc30bdgYrRO0hvY8xzAlyJOcdqtkAcc0yBb2kDkwjFgR5aqM0tKCjg==" saltValue="3uH2JP48EkduQnHsRB4X8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IuIv/ZO4XwQXeuUKQd+XMCUcTcYTsWEfF59R+GR7rVG9B/Jny/oWhxxE/Km3duPj9TS8LixWgwVRHflNzGkzw==" saltValue="0LtV3GdNd3mWhHRswUJXM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2</v>
      </c>
      <c r="AD10" s="334"/>
      <c r="AE10" s="484"/>
      <c r="AF10" s="332">
        <f>IF(ISNUMBER(Datos!L10),Datos!L10,"-")</f>
        <v>13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1393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0.55634807417974319</v>
      </c>
      <c r="BH12" s="260">
        <f>IF(ISNUMBER(((IF(J_V="SI",Datos!L12/Datos!K12,(Datos!L12+Datos!AB12)/(Datos!K12+Datos!AA12)))*11)/factor_trimestre),((IF(J_V="SI",Datos!L12/Datos!K12,(Datos!L12+Datos!AB12)/(Datos!K12+Datos!AA12)))*11)/factor_trimestre," - ")</f>
        <v>8.2538461538461547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-3.3980582524271843E-2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141</v>
      </c>
      <c r="AD13" s="899">
        <f t="shared" si="1"/>
        <v>0</v>
      </c>
      <c r="AE13" s="899">
        <f t="shared" si="1"/>
        <v>0</v>
      </c>
      <c r="AF13" s="899">
        <f t="shared" si="1"/>
        <v>13</v>
      </c>
      <c r="AG13" s="899">
        <f t="shared" si="1"/>
        <v>0</v>
      </c>
      <c r="AH13" s="899">
        <f t="shared" si="1"/>
        <v>14</v>
      </c>
      <c r="AI13" s="899">
        <f t="shared" si="1"/>
        <v>0</v>
      </c>
      <c r="AJ13" s="899">
        <f t="shared" si="1"/>
        <v>0</v>
      </c>
      <c r="AK13" s="899">
        <f t="shared" si="1"/>
        <v>0</v>
      </c>
      <c r="AL13" s="899">
        <f t="shared" si="1"/>
        <v>0</v>
      </c>
      <c r="AM13" s="899">
        <f t="shared" si="1"/>
        <v>1393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48</v>
      </c>
      <c r="BE13" s="899">
        <f t="shared" si="1"/>
        <v>0</v>
      </c>
      <c r="BF13" s="899">
        <f t="shared" si="1"/>
        <v>0</v>
      </c>
      <c r="BG13" s="899">
        <f>IF(ISNUMBER(Datos!K13/Datos!J13),Datos!K13/Datos!J13," - ")</f>
        <v>0.55043227665706052</v>
      </c>
      <c r="BH13" s="903">
        <f>IF(ISNUMBER(((Datos!L13/Datos!K13)*11)/factor_trimestre),((Datos!L13/Datos!K13)*11)/factor_trimestre," - ")</f>
        <v>8.4188481675392666</v>
      </c>
      <c r="BI13" s="899">
        <f>IF(ISNUMBER('Resol  Asuntos'!D13/NºAsuntos!G13),'Resol  Asuntos'!D13/NºAsuntos!G13," - ")</f>
        <v>0.25505050505050503</v>
      </c>
      <c r="BJ13" s="899" t="str">
        <f>IF(ISNUMBER(Datos!CI13/Datos!CJ13),Datos!CI13/Datos!CJ13," - ")</f>
        <v xml:space="preserve"> - </v>
      </c>
      <c r="BK13" s="899">
        <f>SUBTOTAL(9,BK8:BK12)</f>
        <v>0</v>
      </c>
      <c r="BL13" s="899">
        <f>IF(ISNUMBER((I13-AB13+L13)/(F13)),(I13-AB13+L13)/(F13)," - ")</f>
        <v>-0.35294117647058826</v>
      </c>
      <c r="BM13" s="904">
        <f>SUBTOTAL(9,BM9:BM12)</f>
        <v>-1.0339805825242718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936</v>
      </c>
      <c r="G16" s="598">
        <f>IF(ISNUMBER(IF(D_I="SI",Datos!I16,Datos!I16+Datos!AC16)),IF(D_I="SI",Datos!I16,Datos!I16+Datos!AC16)," - ")</f>
        <v>936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381</v>
      </c>
      <c r="AC16" s="226">
        <f>IF(ISNUMBER(Datos!Q16),Datos!Q16," - ")</f>
        <v>10</v>
      </c>
      <c r="AD16" s="334"/>
      <c r="AE16" s="484"/>
      <c r="AF16" s="596">
        <f>IF(ISNUMBER(IF(D_I="SI",Datos!L16,Datos!L16+Datos!AF16)),IF(D_I="SI",Datos!L16,Datos!L16+Datos!AF16)," - ")</f>
        <v>855</v>
      </c>
      <c r="AG16" s="334"/>
      <c r="AH16" s="334"/>
      <c r="AI16" s="334"/>
      <c r="AJ16" s="334"/>
      <c r="AK16" s="334"/>
      <c r="AL16" s="479"/>
      <c r="AM16" s="335">
        <f>IF(ISNUMBER(Datos!R16),Datos!R16," - ")</f>
        <v>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219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1.27</v>
      </c>
      <c r="BH16" s="260">
        <f>IF(ISNUMBER(((IF(D_I="SI",Datos!L16/Datos!K16,(Datos!L16+Datos!AF16)/(Datos!K16+Datos!AE16)))*11)/factor_trimestre),((IF(D_I="SI",Datos!L16/Datos!K16,(Datos!L16+Datos!AF16)/(Datos!K16+Datos!AE16)))*11)/factor_trimestre," - ")</f>
        <v>6.7322834645669296</v>
      </c>
      <c r="BI16" s="243">
        <f>IF(ISNUMBER('Resol  Asuntos'!D16/NºAsuntos!G16),'Resol  Asuntos'!D16/NºAsuntos!G16," - ")</f>
        <v>0.11548556430446194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102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111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7.4</v>
      </c>
      <c r="BI17" s="243">
        <f>IF(ISNUMBER('Resol  Asuntos'!D17/NºAsuntos!G17),'Resol  Asuntos'!D17/NºAsuntos!G17," - ")</f>
        <v>4.4444444444444446E-2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936</v>
      </c>
      <c r="G18" s="898">
        <f>SUBTOTAL(9,G15:G17)</f>
        <v>1038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426</v>
      </c>
      <c r="AC18" s="899">
        <f t="shared" si="4"/>
        <v>10</v>
      </c>
      <c r="AD18" s="899">
        <f t="shared" si="4"/>
        <v>0</v>
      </c>
      <c r="AE18" s="899">
        <f t="shared" si="4"/>
        <v>0</v>
      </c>
      <c r="AF18" s="899">
        <f t="shared" si="4"/>
        <v>966</v>
      </c>
      <c r="AG18" s="899">
        <f t="shared" si="4"/>
        <v>0</v>
      </c>
      <c r="AH18" s="899">
        <f t="shared" si="4"/>
        <v>0</v>
      </c>
      <c r="AI18" s="899">
        <f t="shared" si="4"/>
        <v>0</v>
      </c>
      <c r="AJ18" s="899">
        <f t="shared" si="4"/>
        <v>0</v>
      </c>
      <c r="AK18" s="899">
        <f t="shared" si="4"/>
        <v>0</v>
      </c>
      <c r="AL18" s="899">
        <f t="shared" si="4"/>
        <v>0</v>
      </c>
      <c r="AM18" s="899">
        <f t="shared" si="4"/>
        <v>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239</v>
      </c>
      <c r="BE18" s="899">
        <f t="shared" si="4"/>
        <v>0</v>
      </c>
      <c r="BF18" s="899">
        <f t="shared" si="4"/>
        <v>0</v>
      </c>
      <c r="BG18" s="899">
        <f>IF(ISNUMBER(Datos!K18/Datos!J18),Datos!K18/Datos!J18," - ")</f>
        <v>1.2033898305084745</v>
      </c>
      <c r="BH18" s="903">
        <f>IF(ISNUMBER(((Datos!L18/Datos!K18)*11)/factor_trimestre),((Datos!L18/Datos!K18)*11)/factor_trimestre," - ")</f>
        <v>6.8028169014084519</v>
      </c>
      <c r="BI18" s="899">
        <f>SUBTOTAL(9,BI15:BI17)</f>
        <v>0.15993000874890639</v>
      </c>
      <c r="BJ18" s="899">
        <f>SUBTOTAL(9,BJ15:BJ17)</f>
        <v>0</v>
      </c>
      <c r="BK18" s="899">
        <f>SUBTOTAL(9,BK15:BK17)</f>
        <v>0</v>
      </c>
      <c r="BL18" s="899">
        <f>IF(ISNUMBER((I18-AB18+L18)/(F18)),(I18-AB18+L18)/(F18)," - ")</f>
        <v>-0.45512820512820512</v>
      </c>
      <c r="BM18" s="905">
        <f>IF(ISNUMBER((Datos!P18-Datos!Q18)/(Datos!R18-Datos!P18+Datos!Q18)),(Datos!P18-Datos!Q18)/(Datos!R18-Datos!P18+Datos!Q18)," - ")</f>
        <v>-3.1914893617021274E-2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953</v>
      </c>
      <c r="G19" s="820">
        <f t="shared" si="6"/>
        <v>1055</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97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432</v>
      </c>
      <c r="AC19" s="821">
        <f t="shared" si="7"/>
        <v>151</v>
      </c>
      <c r="AD19" s="821">
        <f t="shared" si="7"/>
        <v>0</v>
      </c>
      <c r="AE19" s="821">
        <f t="shared" si="7"/>
        <v>0</v>
      </c>
      <c r="AF19" s="828">
        <f t="shared" si="7"/>
        <v>979</v>
      </c>
      <c r="AG19" s="828">
        <f t="shared" si="7"/>
        <v>0</v>
      </c>
      <c r="AH19" s="828">
        <f t="shared" si="7"/>
        <v>14</v>
      </c>
      <c r="AI19" s="828">
        <f t="shared" si="7"/>
        <v>0</v>
      </c>
      <c r="AJ19" s="821">
        <f t="shared" si="7"/>
        <v>0</v>
      </c>
      <c r="AK19" s="828">
        <f t="shared" si="7"/>
        <v>0</v>
      </c>
      <c r="AL19" s="828">
        <f t="shared" si="7"/>
        <v>0</v>
      </c>
      <c r="AM19" s="828">
        <f t="shared" si="7"/>
        <v>1484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v>
      </c>
      <c r="BD19" s="820">
        <f t="shared" si="7"/>
        <v>287</v>
      </c>
      <c r="BE19" s="820">
        <f t="shared" si="7"/>
        <v>0</v>
      </c>
      <c r="BF19" s="830">
        <f t="shared" si="7"/>
        <v>0</v>
      </c>
      <c r="BG19" s="915">
        <f>IF(ISNUMBER(Datos!K19/Datos!J19),Datos!K19/Datos!J19," - ")</f>
        <v>0.77099236641221369</v>
      </c>
      <c r="BH19" s="915">
        <f>IF(ISNUMBER(((Datos!L19/Datos!K19)*11)/factor_trimestre),((Datos!L19/Datos!K19)*11)/factor_trimestre," - ")</f>
        <v>7.5668316831683171</v>
      </c>
      <c r="BI19" s="813">
        <f>IF(ISNUMBER(Datos!J19/Datos!I19),Datos!J19/Datos!I19," - ")</f>
        <v>0.58286985539488323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-0.45330535152151102</v>
      </c>
      <c r="BM19" s="889">
        <f>IF(ISNUMBER((Datos!P19-Datos!Q19+R19)/(Datos!R19-Datos!P19+Datos!Q19-R19)),(Datos!P19-Datos!Q19+R19)/(Datos!R19-Datos!P19+Datos!Q19-R19)," - ")</f>
        <v>-3.5110533159947985E-2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530.584897385266</v>
      </c>
      <c r="G21" s="552">
        <f>IF(ISNUMBER(STDEV(G8:G18)),STDEV(G8:G18),"-")</f>
        <v>518.19446156824176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211.79872520862818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42.218479366268035</v>
      </c>
      <c r="BD21" s="551"/>
      <c r="BE21" s="551">
        <f>IF(ISNUMBER(STDEV(BE8:BE18)),STDEV(BE8:BE18),"-")</f>
        <v>0</v>
      </c>
      <c r="BF21" s="556">
        <f>IF(ISNUMBER(STDEV(BF8:BF18)),STDEV(BF8:BF18),"-")</f>
        <v>0</v>
      </c>
      <c r="BG21" s="775">
        <f>IF(ISNUMBER(STDEV(BG8:BG18)),STDEV(BG8:BG18),"-")</f>
        <v>0.91738592450720424</v>
      </c>
      <c r="BH21" s="776">
        <f>IF(ISNUMBER(STDEV(BH8:BH18)),STDEV(BH8:BH18),"-")</f>
        <v>0.82040809484235511</v>
      </c>
      <c r="BI21" s="249">
        <f>IF(ISNUMBER(STDEV(BI8:BI18)),STDEV(BI8:BI18),"-")</f>
        <v>8.8147725997220788E-2</v>
      </c>
      <c r="BJ21" s="230" t="str">
        <f>IF(ISNUMBER(BL21/BM21),BL21/BM21," - ")</f>
        <v xml:space="preserve"> - </v>
      </c>
      <c r="BK21" s="575"/>
      <c r="BL21" s="559">
        <f>IF(ISNUMBER(STDEV(BL8:BL18)),STDEV(BL8:BL18),"-")</f>
        <v>7.2257140913105145E-2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rwm323gRgGR3Wq7lFl7LP60bjHhc0QVQ6DCJJSyTpWDmHh2E8d92oMNQdWs33f0W31EThCAyJ3E1luJEb/EmQ==" saltValue="Mf/unbQBd0eLqaJ77sgR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AVILA  Resumenes por Partidos Judiciales  ARENAS DE SAN PEDRO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2</v>
      </c>
      <c r="AA10" s="332">
        <f>IF(ISNUMBER(Datos!L10),Datos!L10,"-")</f>
        <v>13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139</v>
      </c>
      <c r="AA12" s="332" t="str">
        <f>IF(ISNUMBER(IF(J_V="SI",Datos!L12,Datos!L12+Datos!AB12)-IF(Monitorios="SI",Datos!CD12,0)),
                          IF(J_V="SI",Datos!L12,Datos!L12+Datos!AB12)-IF(Monitorios="SI",Datos!CD12,0),
                          " - ")</f>
        <v xml:space="preserve"> - </v>
      </c>
      <c r="AB12" s="334"/>
      <c r="AC12" s="334"/>
      <c r="AD12" s="484"/>
      <c r="AE12" s="484">
        <f>IF(ISNUMBER(Datos!R12),Datos!R12," - ")</f>
        <v>1393</v>
      </c>
      <c r="AF12" s="229" t="str">
        <f>IF(ISNUMBER(Datos!BV12),Datos!BV12," - ")</f>
        <v xml:space="preserve"> - </v>
      </c>
      <c r="AG12" s="225" t="str">
        <f>IF(ISNUMBER(Datos!DV12),Datos!DV12," - ")</f>
        <v xml:space="preserve"> - </v>
      </c>
      <c r="AH12" s="298"/>
      <c r="AI12" s="227"/>
      <c r="AJ12" s="225">
        <f>IF(ISNUMBER(Datos!M12),Datos!M12," - ")</f>
        <v>95</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8.2538461538461547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-3.3980582524271843E-2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141</v>
      </c>
      <c r="AA13" s="900">
        <f t="shared" si="2"/>
        <v>13</v>
      </c>
      <c r="AB13" s="900">
        <f t="shared" si="2"/>
        <v>0</v>
      </c>
      <c r="AC13" s="900">
        <f t="shared" si="2"/>
        <v>0</v>
      </c>
      <c r="AD13" s="900">
        <f t="shared" si="2"/>
        <v>0</v>
      </c>
      <c r="AE13" s="900">
        <f t="shared" si="2"/>
        <v>1393</v>
      </c>
      <c r="AF13" s="908">
        <f t="shared" si="2"/>
        <v>0</v>
      </c>
      <c r="AG13" s="908">
        <f t="shared" si="2"/>
        <v>0</v>
      </c>
      <c r="AH13" s="908">
        <f t="shared" si="2"/>
        <v>0</v>
      </c>
      <c r="AI13" s="908">
        <f t="shared" si="2"/>
        <v>0</v>
      </c>
      <c r="AJ13" s="908">
        <f t="shared" si="2"/>
        <v>101</v>
      </c>
      <c r="AK13" s="908">
        <f t="shared" si="2"/>
        <v>48</v>
      </c>
      <c r="AL13" s="908">
        <f t="shared" si="2"/>
        <v>0</v>
      </c>
      <c r="AM13" s="908">
        <f t="shared" si="2"/>
        <v>0</v>
      </c>
      <c r="AN13" s="908">
        <f t="shared" si="2"/>
        <v>0</v>
      </c>
      <c r="AO13" s="904">
        <f>IF(ISNUMBER(((NºAsuntos!I13/NºAsuntos!G13)*11)/factor_trimestre),((NºAsuntos!I13/NºAsuntos!G13)*11)/factor_trimestre," - ")</f>
        <v>8.2272727272727266</v>
      </c>
      <c r="AP13" s="910" t="str">
        <f>IF(ISNUMBER(Datos!CI13/Datos!CJ13),Datos!CI13/Datos!CJ13," - ")</f>
        <v xml:space="preserve"> - </v>
      </c>
      <c r="AQ13" s="928">
        <f t="shared" ref="AQ13:AV13" si="3">SUBTOTAL(9,AQ9:AQ12)</f>
        <v>0</v>
      </c>
      <c r="AR13" s="928">
        <f t="shared" si="3"/>
        <v>-1.0339805825242718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936</v>
      </c>
      <c r="G16" s="225">
        <f>IF(ISNUMBER(IF(D_I="SI",Datos!I16,Datos!I16+Datos!AC16)),IF(D_I="SI",Datos!I16,Datos!I16+Datos!AC16)," - ")</f>
        <v>936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381</v>
      </c>
      <c r="Z16" s="619">
        <f>IF(ISNUMBER(Datos!Q16),Datos!Q16," - ")</f>
        <v>10</v>
      </c>
      <c r="AA16" s="332">
        <f>IF(ISNUMBER(IF(D_I="SI",Datos!L16,Datos!L16+Datos!AF16)),IF(D_I="SI",Datos!L16,Datos!L16+Datos!AF16)," - ")</f>
        <v>855</v>
      </c>
      <c r="AB16" s="334"/>
      <c r="AC16" s="334"/>
      <c r="AD16" s="484"/>
      <c r="AE16" s="484">
        <f>IF(ISNUMBER(Datos!R16),Datos!R16," - ")</f>
        <v>91</v>
      </c>
      <c r="AF16" s="229" t="str">
        <f>IF(ISNUMBER(Datos!BV16),Datos!BV16," - ")</f>
        <v xml:space="preserve"> - </v>
      </c>
      <c r="AG16" s="225"/>
      <c r="AH16" s="298"/>
      <c r="AI16" s="227"/>
      <c r="AJ16" s="225">
        <f>IF(ISNUMBER(Datos!M16),Datos!M16," - ")</f>
        <v>44</v>
      </c>
      <c r="AK16" s="229">
        <f>IF(ISNUMBER(Datos!N16),Datos!N16," - ")</f>
        <v>219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6.7322834645669296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102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111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936</v>
      </c>
      <c r="G18" s="898">
        <f>SUBTOTAL(9,G15:G17)</f>
        <v>1038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426</v>
      </c>
      <c r="Z18" s="932">
        <f t="shared" si="5"/>
        <v>10</v>
      </c>
      <c r="AA18" s="932">
        <f t="shared" si="5"/>
        <v>966</v>
      </c>
      <c r="AB18" s="932">
        <f t="shared" si="5"/>
        <v>0</v>
      </c>
      <c r="AC18" s="932">
        <f t="shared" si="5"/>
        <v>0</v>
      </c>
      <c r="AD18" s="932">
        <f t="shared" si="5"/>
        <v>0</v>
      </c>
      <c r="AE18" s="932">
        <f t="shared" si="5"/>
        <v>91</v>
      </c>
      <c r="AF18" s="932">
        <f t="shared" si="5"/>
        <v>0</v>
      </c>
      <c r="AG18" s="932">
        <f t="shared" si="5"/>
        <v>0</v>
      </c>
      <c r="AH18" s="932">
        <f t="shared" si="5"/>
        <v>0</v>
      </c>
      <c r="AI18" s="932">
        <f t="shared" si="5"/>
        <v>0</v>
      </c>
      <c r="AJ18" s="932">
        <f t="shared" si="5"/>
        <v>46</v>
      </c>
      <c r="AK18" s="932">
        <f t="shared" si="5"/>
        <v>239</v>
      </c>
      <c r="AL18" s="932">
        <f t="shared" si="5"/>
        <v>0</v>
      </c>
      <c r="AM18" s="932">
        <f t="shared" si="5"/>
        <v>0</v>
      </c>
      <c r="AN18" s="932">
        <f t="shared" si="5"/>
        <v>0</v>
      </c>
      <c r="AO18" s="934">
        <f>IF(ISNUMBER(((NºAsuntos!I18/NºAsuntos!G18)*11)/factor_trimestre),((NºAsuntos!I18/NºAsuntos!G18)*11)/factor_trimestre," - ")</f>
        <v>6.8028169014084519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953</v>
      </c>
      <c r="G19" s="820">
        <f t="shared" si="7"/>
        <v>1055</v>
      </c>
      <c r="H19" s="821">
        <f t="shared" si="7"/>
        <v>0</v>
      </c>
      <c r="I19" s="820">
        <f t="shared" si="7"/>
        <v>0</v>
      </c>
      <c r="J19" s="822">
        <f t="shared" si="7"/>
        <v>0</v>
      </c>
      <c r="K19" s="820">
        <f t="shared" si="7"/>
        <v>0</v>
      </c>
      <c r="L19" s="823">
        <f t="shared" si="7"/>
        <v>0</v>
      </c>
      <c r="M19" s="820">
        <f t="shared" si="7"/>
        <v>0</v>
      </c>
      <c r="N19" s="821">
        <f t="shared" si="7"/>
        <v>97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432</v>
      </c>
      <c r="Z19" s="827">
        <f t="shared" si="8"/>
        <v>151</v>
      </c>
      <c r="AA19" s="828">
        <f t="shared" si="8"/>
        <v>979</v>
      </c>
      <c r="AB19" s="828">
        <f t="shared" si="8"/>
        <v>0</v>
      </c>
      <c r="AC19" s="828">
        <f t="shared" si="8"/>
        <v>0</v>
      </c>
      <c r="AD19" s="829">
        <f t="shared" si="8"/>
        <v>0</v>
      </c>
      <c r="AE19" s="829">
        <f t="shared" si="8"/>
        <v>1484</v>
      </c>
      <c r="AF19" s="830">
        <f t="shared" si="8"/>
        <v>0</v>
      </c>
      <c r="AG19" s="831">
        <f t="shared" si="8"/>
        <v>0</v>
      </c>
      <c r="AH19" s="832">
        <f t="shared" si="8"/>
        <v>0</v>
      </c>
      <c r="AI19" s="830">
        <f t="shared" si="8"/>
        <v>0</v>
      </c>
      <c r="AJ19" s="820">
        <f t="shared" si="8"/>
        <v>147</v>
      </c>
      <c r="AK19" s="820">
        <f t="shared" si="8"/>
        <v>287</v>
      </c>
      <c r="AL19" s="820">
        <f t="shared" si="8"/>
        <v>0</v>
      </c>
      <c r="AM19" s="833">
        <f t="shared" si="8"/>
        <v>0</v>
      </c>
      <c r="AN19" s="823">
        <f>IF(ISNUMBER(Datos!K19/Datos!J19),Datos!K19/Datos!J19," - ")</f>
        <v>0.77099236641221369</v>
      </c>
      <c r="AO19" s="823">
        <f>IF(ISNUMBER(FIND("06",Criterios!A8,1)),(IF(ISNUMBER(((Datos!R19/Datos!Q19)*11)/factor_trimestre),((Datos!R19/Datos!Q19)*11)/factor_trimestre," - ")),(IF(ISNUMBER(((Datos!L19/Datos!K19)*11)/factor_trimestre),((Datos!L19/Datos!K19)*11)/factor_trimestre," - ")))</f>
        <v>7.5668316831683171</v>
      </c>
      <c r="AP19" s="834" t="str">
        <f>IF(ISNUMBER(Datos!CI19/Datos!CJ19),Datos!CI19/Datos!CJ19," - ")</f>
        <v xml:space="preserve"> - </v>
      </c>
      <c r="AQ19" s="834">
        <f>IF(OR(ISNUMBER(FIND("01",Criterios!A8,1)),ISNUMBER(FIND("02",Criterios!A8,1)),ISNUMBER(FIND("03",Criterios!A8,1)),ISNUMBER(FIND("04",Criterios!A8,1))),(J19-Y19+K19)/(F19-K19),(I19-Y19+K19)/(F19-K19))</f>
        <v>-0.45330535152151102</v>
      </c>
      <c r="AR19" s="834">
        <f>IF(ISNUMBER((Datos!P19-Datos!Q19+O19)/(Datos!R19-Datos!P19+Datos!Q19-O19)),(Datos!P19-Datos!Q19+O19)/(Datos!R19-Datos!P19+Datos!Q19-O19)," - ")</f>
        <v>-3.5110533159947985E-2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530.584897385266</v>
      </c>
      <c r="G21" s="552">
        <f>IF(ISNUMBER(STDEV(G8:G18)),STDEV(G8:G18),"-")</f>
        <v>518.19446156824176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42.218479366268035</v>
      </c>
      <c r="AK21" s="252"/>
      <c r="AL21" s="252">
        <f>IF(ISNUMBER(STDEV(AL8:AL18)),STDEV(AL8:AL18),"-")</f>
        <v>0</v>
      </c>
      <c r="AM21" s="254">
        <f>IF(ISNUMBER(STDEV(AM8:AM18)),STDEV(AM8:AM18),"-")</f>
        <v>0</v>
      </c>
      <c r="AN21" s="539">
        <f>IF(ISNUMBER(STDEV(AN8:AN18)),STDEV(AN8:AN18),"-")</f>
        <v>0</v>
      </c>
      <c r="AO21" s="540">
        <f>IF(ISNUMBER(STDEV(AO8:AO18)),STDEV(AO8:AO18),"-")</f>
        <v>0.77290350521233864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ygdJJ1C+4UyWRcShn1gQ8bywOI0rr6DpIJbEBjE82hUJ3UISOY4NtjUFqnzVtTDp+oC2EoCiYlPTh5c3VbkdnA==" saltValue="G0zqkR5WCfu0whEYJKZ4c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9W0HygaqXT28JPS2pY9KeAltShp0+1O/KmenkS4u3aXd/JjPMQRhvtPz+UmsIHYLiVqyu1by7fKfi+ZPy/AYg==" saltValue="HRbHxb4qJfyPZVrHfkS3L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AVILA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Ra/dpenQ11c7o2LQYZPIbFCxSSgLxAFhVOu4+AK+1oWyexWYb0aN4G86arC1Qp22FpK+mzb6sEwAiFoHGxFTQ==" saltValue="K1ccgoGTsuH0Lt8tW6T56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0.25505050505050503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0.18034794166626589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iedDVJN+u2c3PkWThC98vq5MnATHuRv5lX8HtqIQE+aNEVRMG0zNTYQeap1GVOv3rm2tEsZeFvkfr/8n0quELw==" saltValue="XFYBYnUKya9tpOFh9x+SR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XZfbeUwkdrHiT2f5Oux/RZU/xj/DigOWmbCNp8Y2b0m1kcF0owEyRjzc1H6w+9+ycfcg/3DEPQunKTa+PS5Hhw==" saltValue="HnipBSfyfivcIDAcI0nO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AVILA</v>
      </c>
      <c r="D3" s="375"/>
      <c r="E3" s="375"/>
      <c r="F3" s="375"/>
      <c r="BQ3" s="471"/>
    </row>
    <row r="4" spans="1:69" ht="13.5" thickBot="1">
      <c r="A4" s="375"/>
      <c r="B4" s="391" t="str">
        <f>Criterios!A11 &amp;"  "&amp;Criterios!B11</f>
        <v>Resumenes por Partidos Judiciales  ARENAS DE SAN PEDRO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2</v>
      </c>
      <c r="F10" s="404">
        <f>IF(ISNUMBER(E10/B10),E10/B10," - ")</f>
        <v>2</v>
      </c>
      <c r="G10" s="403">
        <f>IF(ISNUMBER(Datos!K10),Datos!K10," - ")</f>
        <v>6</v>
      </c>
      <c r="H10" s="404">
        <f>IF(ISNUMBER(G10/B10),G10/B10," - ")</f>
        <v>6</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762</v>
      </c>
      <c r="D12" s="404">
        <f>IF(ISNUMBER(C12/Datos!BH12),C12/Datos!BH12," - ")</f>
        <v>381</v>
      </c>
      <c r="E12" s="403">
        <f>IF(ISNUMBER(IF(J_V="SI",Datos!J12,Datos!J12+Datos!Z12)),IF(J_V="SI",Datos!J12,Datos!J12+Datos!Z12)," - ")</f>
        <v>701</v>
      </c>
      <c r="F12" s="404">
        <f>IF(ISNUMBER(E12/B12),E12/B12," - ")</f>
        <v>350.5</v>
      </c>
      <c r="G12" s="403">
        <f>IF(ISNUMBER(IF(J_V="SI",Datos!K12,Datos!K12+Datos!AA12)),IF(J_V="SI",Datos!K12,Datos!K12+Datos!AA12)," - ")</f>
        <v>390</v>
      </c>
      <c r="H12" s="404">
        <f>IF(ISNUMBER(G12/B12),G12/B12," - ")</f>
        <v>195</v>
      </c>
      <c r="I12" s="403">
        <f>IF(ISNUMBER(IF(J_V="SI",Datos!L12,Datos!L12+Datos!AB12)),IF(J_V="SI",Datos!L12,Datos!L12+Datos!AB12)," - ")</f>
        <v>1073</v>
      </c>
      <c r="J12" s="404">
        <f>IF(ISNUMBER(I12/B12),I12/B12," - ")</f>
        <v>536.5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779</v>
      </c>
      <c r="D13" s="850" t="str">
        <f>IF(ISNUMBER(C13/Datos!BI13),C13/Datos!BI13," - ")</f>
        <v xml:space="preserve"> - </v>
      </c>
      <c r="E13" s="849">
        <f>SUBTOTAL(9,E8:E12)</f>
        <v>703</v>
      </c>
      <c r="F13" s="850">
        <f>IF(ISNUMBER(E13/B13),E13/B13," - ")</f>
        <v>351.5</v>
      </c>
      <c r="G13" s="849">
        <f>SUBTOTAL(9,G8:G12)</f>
        <v>396</v>
      </c>
      <c r="H13" s="850">
        <f>IF(ISNUMBER(G13/B13),G13/B13," - ")</f>
        <v>198</v>
      </c>
      <c r="I13" s="849">
        <f>SUBTOTAL(9,I8:I12)</f>
        <v>1086</v>
      </c>
      <c r="J13" s="850">
        <f>IF(ISNUMBER(I13/B13),I13/B13," - ")</f>
        <v>543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936</v>
      </c>
      <c r="D16" s="404">
        <f>IF(ISNUMBER(C16/Datos!BH16),C16/Datos!BH16," - ")</f>
        <v>468</v>
      </c>
      <c r="E16" s="403">
        <f>IF(ISNUMBER(IF(D_I="SI",Datos!J16,Datos!J16+Datos!AD16)),IF(D_I="SI",Datos!J16,Datos!J16+Datos!AD16)," - ")</f>
        <v>300</v>
      </c>
      <c r="F16" s="404">
        <f>IF(ISNUMBER(E16/B16),E16/B16," - ")</f>
        <v>150</v>
      </c>
      <c r="G16" s="403">
        <f>IF(ISNUMBER(IF(D_I="SI",Datos!K16,Datos!K16+Datos!AE16)),IF(D_I="SI",Datos!K16,Datos!K16+Datos!AE16)," - ")</f>
        <v>381</v>
      </c>
      <c r="H16" s="404">
        <f>IF(ISNUMBER(G16/B16),G16/B16," - ")</f>
        <v>190.5</v>
      </c>
      <c r="I16" s="403">
        <f>IF(ISNUMBER(IF(D_I="SI",Datos!L16,Datos!L16+Datos!AF16)),IF(D_I="SI",Datos!L16,Datos!L16+Datos!AF16)," - ")</f>
        <v>855</v>
      </c>
      <c r="J16" s="404">
        <f>IF(ISNUMBER(I16/B16),I16/B16," - ")</f>
        <v>427.5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102</v>
      </c>
      <c r="D17" s="404">
        <f>IF(ISNUMBER(C17/Datos!BH17),C17/Datos!BH17," - ")</f>
        <v>102</v>
      </c>
      <c r="E17" s="403">
        <f>IF(ISNUMBER(IF(D_I="SI",Datos!J17,Datos!J17+Datos!AD17)),IF(D_I="SI",Datos!J17,Datos!J17+Datos!AD17)," - ")</f>
        <v>54</v>
      </c>
      <c r="F17" s="404">
        <f>IF(ISNUMBER(E17/B17),E17/B17," - ")</f>
        <v>54</v>
      </c>
      <c r="G17" s="403">
        <f>IF(ISNUMBER(IF(D_I="SI",Datos!K17,Datos!K17+Datos!AE17)),IF(D_I="SI",Datos!K17,Datos!K17+Datos!AE17)," - ")</f>
        <v>45</v>
      </c>
      <c r="H17" s="404">
        <f>IF(ISNUMBER(G17/B17),G17/B17," - ")</f>
        <v>45</v>
      </c>
      <c r="I17" s="403">
        <f>IF(ISNUMBER(IF(D_I="SI",Datos!L17,Datos!L17+Datos!AF17)),IF(D_I="SI",Datos!L17,Datos!L17+Datos!AF17)," - ")</f>
        <v>111</v>
      </c>
      <c r="J17" s="404">
        <f>IF(ISNUMBER(I17/B17),I17/B17," - ")</f>
        <v>111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1038</v>
      </c>
      <c r="D18" s="850" t="str">
        <f>IF(ISNUMBER(C18/Datos!BI18),C18/Datos!BI18," - ")</f>
        <v xml:space="preserve"> - </v>
      </c>
      <c r="E18" s="849">
        <f>SUBTOTAL(9,E14:E17)</f>
        <v>354</v>
      </c>
      <c r="F18" s="850">
        <f>IF(ISNUMBER(E18/B18),E18/B18," - ")</f>
        <v>177</v>
      </c>
      <c r="G18" s="849">
        <f>SUBTOTAL(9,G14:G17)</f>
        <v>426</v>
      </c>
      <c r="H18" s="850">
        <f>IF(ISNUMBER(G18/B18),G18/B18," - ")</f>
        <v>213</v>
      </c>
      <c r="I18" s="849">
        <f>SUBTOTAL(9,I14:I17)</f>
        <v>966</v>
      </c>
      <c r="J18" s="850">
        <f>IF(ISNUMBER(I18/B18),I18/B18," - ")</f>
        <v>483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1817</v>
      </c>
      <c r="D19" s="795" t="str">
        <f>IF(ISNUMBER(C19/Datos!BI19),C19/Datos!BI19," - ")</f>
        <v xml:space="preserve"> - </v>
      </c>
      <c r="E19" s="794">
        <f>SUBTOTAL(9,E9:E18)</f>
        <v>1057</v>
      </c>
      <c r="F19" s="795">
        <f>IF(ISNUMBER(E19/B19),E19/B19," - ")</f>
        <v>528.5</v>
      </c>
      <c r="G19" s="794">
        <f>SUBTOTAL(9,G9:G18)</f>
        <v>822</v>
      </c>
      <c r="H19" s="795">
        <f>IF(ISNUMBER(G19/B19),G19/B19," - ")</f>
        <v>411</v>
      </c>
      <c r="I19" s="794">
        <f>SUBTOTAL(9,I9:I18)</f>
        <v>2052</v>
      </c>
      <c r="J19" s="795">
        <f>IF(ISNUMBER(I19/B19),I19/B19," - ")</f>
        <v>1026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4edJa0GjbIH1UDpsWbkpUAkVMrw+wvFqYNct9Mz7Zkku9KylCvgQ7dHoIhJlq+TOs6haoTI7hRoU3uoRrapPLg==" saltValue="lk0ZeBO3hs2IV3/+Re8Mm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AVILA  Resumenes por Partidos Judiciales  ARENAS DE SAN PEDRO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8.2538461538461547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-3.3980582524271843E-2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139</v>
      </c>
      <c r="AE13" s="939">
        <f t="shared" si="1"/>
        <v>0</v>
      </c>
      <c r="AF13" s="939">
        <f t="shared" si="1"/>
        <v>13</v>
      </c>
      <c r="AG13" s="939">
        <f t="shared" si="1"/>
        <v>0</v>
      </c>
      <c r="AH13" s="939">
        <f t="shared" si="1"/>
        <v>1393</v>
      </c>
      <c r="AI13" s="939">
        <f t="shared" si="1"/>
        <v>0</v>
      </c>
      <c r="AJ13" s="939">
        <f t="shared" si="1"/>
        <v>0</v>
      </c>
      <c r="AK13" s="939">
        <f t="shared" si="1"/>
        <v>0</v>
      </c>
      <c r="AL13" s="939">
        <f t="shared" si="1"/>
        <v>101</v>
      </c>
      <c r="AM13" s="939">
        <f t="shared" si="1"/>
        <v>48</v>
      </c>
      <c r="AN13" s="939">
        <f t="shared" si="1"/>
        <v>0</v>
      </c>
      <c r="AO13" s="939">
        <f t="shared" si="1"/>
        <v>0</v>
      </c>
      <c r="AP13" s="944">
        <f>IF(ISNUMBER(((Datos!L13/Datos!K13)*11)/factor_trimestre),((Datos!L13/Datos!K13)*11)/factor_trimestre," - ")</f>
        <v>8.4188481675392666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-0.35294117647058826</v>
      </c>
      <c r="AU13" s="939" t="str">
        <f>IF(ISNUMBER((DatosP!#REF!-DatosP!#REF!+DatosP!#REF!)/(DatosP!#REF!+DatosP!#REF!-DatosP!#REF!-DatosP!#REF!)),(DatosP!#REF!-DatosP!#REF!+DatosP!#REF!)/(DatosP!#REF!+DatosP!#REF!-DatosP!#REF!-DatosP!#REF!)," - ")</f>
        <v xml:space="preserve"> - </v>
      </c>
      <c r="AV13" s="945">
        <f>SUBTOTAL(9,AV9:AV12)</f>
        <v>-3.3980582524271843E-2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6.8028169014084519</v>
      </c>
      <c r="AQ18" s="944">
        <f>IF(ISNUMBER(((Datos!M18/Datos!L18)*11)/factor_trimestre),((Datos!M18/Datos!L18)*11)/factor_trimestre," - ")</f>
        <v>0.14285714285714285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-3.1914893617021274E-2</v>
      </c>
      <c r="AW18" s="946">
        <f>IF(ISNUMBER((Datos!Q18-Datos!R18)/(Datos!S18-Datos!Q18+Datos!R18)),(Datos!Q18-Datos!R18)/(Datos!S18-Datos!Q18+Datos!R18)," - ")</f>
        <v>-7.7437858508604213E-2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139</v>
      </c>
      <c r="AE19" s="957">
        <f t="shared" si="5"/>
        <v>0</v>
      </c>
      <c r="AF19" s="958">
        <f t="shared" si="5"/>
        <v>13</v>
      </c>
      <c r="AG19" s="958">
        <f t="shared" si="5"/>
        <v>0</v>
      </c>
      <c r="AH19" s="958">
        <f t="shared" si="5"/>
        <v>1393</v>
      </c>
      <c r="AI19" s="958">
        <f t="shared" si="5"/>
        <v>0</v>
      </c>
      <c r="AJ19" s="959">
        <f t="shared" si="5"/>
        <v>0</v>
      </c>
      <c r="AK19" s="959">
        <f t="shared" si="5"/>
        <v>0</v>
      </c>
      <c r="AL19" s="951">
        <f t="shared" si="5"/>
        <v>101</v>
      </c>
      <c r="AM19" s="951">
        <f t="shared" si="5"/>
        <v>48</v>
      </c>
      <c r="AN19" s="951">
        <f t="shared" si="5"/>
        <v>0</v>
      </c>
      <c r="AO19" s="951">
        <f t="shared" si="5"/>
        <v>0</v>
      </c>
      <c r="AP19" s="951">
        <f>IF(ISNUMBER(((Datos!L19/Datos!K19)*11)/factor_trimestre),((Datos!L19/Datos!K19)*11)/factor_trimestre," - ")</f>
        <v>7.5668316831683171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-0.35294117647058826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-3.5110533159947985E-2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54.957559382976001</v>
      </c>
      <c r="AM21" s="736"/>
      <c r="AN21" s="736">
        <f>IF(ISNUMBER(STDEV(AN8:AN18)),STDEV(AN8:AN18),"-")</f>
        <v>0</v>
      </c>
      <c r="AO21" s="742">
        <f>IF(ISNUMBER(STDEV(AO8:AO18)),STDEV(AO8:AO18),"-")</f>
        <v>0</v>
      </c>
      <c r="AP21" s="779">
        <f>IF(ISNUMBER(STDEV(AP8:AP18)),STDEV(AP8:AP18),"-")</f>
        <v>0.98293443772009315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qKDvnsHjsqmIY5q0GHITEL3GITjbHR3RX5ca2/4E+0UlQ+e4DvEM1iuD1NaafYbzVyxgQpTpeYKNoWqiZWO7A==" saltValue="m4RGZVX61/0hhFFxjUg7m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AVILA</v>
      </c>
      <c r="C3" s="415"/>
      <c r="F3" s="375"/>
      <c r="G3" s="375"/>
      <c r="H3" s="375"/>
    </row>
    <row r="4" spans="1:15" ht="13.5" thickBot="1">
      <c r="A4" s="375"/>
      <c r="B4" s="391" t="str">
        <f>Criterios!A11 &amp;"  "&amp;Criterios!B11</f>
        <v>Resumenes por Partidos Judiciales  ARENAS DE SAN PEDRO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vwuGjEYf2zmedV0aALhs3oYmBeeRC7x/aKplezVOmwn4DUAcOwtK16UO3276qxysPHMdQfK4p+Tq4RfU/P0xHQ==" saltValue="XV/e0uVMa4nbCXJU/Pyt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AVILA</v>
      </c>
      <c r="C3" s="391"/>
      <c r="D3" s="425"/>
      <c r="BZ3" s="471"/>
    </row>
    <row r="4" spans="1:78" ht="13.5" thickBot="1">
      <c r="B4" s="391" t="str">
        <f>Criterios!A11 &amp;"  "&amp;Criterios!B11</f>
        <v>Resumenes por Partidos Judiciales  ARENAS DE SAN PEDRO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95</v>
      </c>
      <c r="E12" s="404">
        <f t="shared" si="0"/>
        <v>47.5</v>
      </c>
      <c r="F12" s="403">
        <f>IF(ISNUMBER(Datos!N12),Datos!N12," - ")</f>
        <v>48</v>
      </c>
      <c r="G12" s="404">
        <f t="shared" si="1"/>
        <v>24</v>
      </c>
      <c r="H12" s="403">
        <f>IF(ISNUMBER(Datos!O12),Datos!O12," - ")</f>
        <v>198</v>
      </c>
      <c r="I12" s="404">
        <f t="shared" si="2"/>
        <v>99</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48</v>
      </c>
      <c r="G13" s="850">
        <f t="shared" si="1"/>
        <v>24</v>
      </c>
      <c r="H13" s="849">
        <f>SUBTOTAL(9,H9:H12)</f>
        <v>198</v>
      </c>
      <c r="I13" s="850">
        <f>IF(ISNUMBER(H13/B13),H13/B13," - ")</f>
        <v>99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219</v>
      </c>
      <c r="G16" s="404">
        <f t="shared" si="4"/>
        <v>109.5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46</v>
      </c>
      <c r="E18" s="850">
        <f t="shared" si="3"/>
        <v>23</v>
      </c>
      <c r="F18" s="849">
        <f>SUBTOTAL(9,F15:F17)</f>
        <v>239</v>
      </c>
      <c r="G18" s="850">
        <f t="shared" si="4"/>
        <v>119.5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147</v>
      </c>
      <c r="E19" s="795">
        <f>IF(ISNUMBER(D19/B19),D19/B19," - ")</f>
        <v>73.5</v>
      </c>
      <c r="F19" s="794">
        <f>SUBTOTAL(9,F8:F18)</f>
        <v>287</v>
      </c>
      <c r="G19" s="795">
        <f>IF(ISNUMBER(F19/B19),F19/B19," - ")</f>
        <v>143.5</v>
      </c>
      <c r="H19" s="794">
        <f>SUBTOTAL(9,H8:H18)</f>
        <v>198</v>
      </c>
      <c r="I19" s="795">
        <f>IF(ISNUMBER(H19/B19),H19/B19," - ")</f>
        <v>99</v>
      </c>
    </row>
    <row r="22" spans="1:78">
      <c r="A22" s="391" t="str">
        <f>Criterios!A4</f>
        <v>Fecha Informe: 03 jun. 2025</v>
      </c>
    </row>
    <row r="27" spans="1:78">
      <c r="A27" s="414"/>
    </row>
  </sheetData>
  <sheetProtection algorithmName="SHA-512" hashValue="o/ow+iNIgXPZyRkGHeOukq/1tZIQbotwIi8RCb8TKQyeBB8GPGlL5sW3Cclhc4vZ2thYTx1GNQcthaKoAYOf7A==" saltValue="s5aYhfD+EJATOwlgjY3U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AVILA</v>
      </c>
    </row>
    <row r="4" spans="1:4" ht="13.5" thickBot="1">
      <c r="B4" s="391" t="str">
        <f>Criterios!A11 &amp;"  "&amp;Criterios!B11</f>
        <v>Resumenes por Partidos Judiciales  ARENAS DE SAN PEDRO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90</v>
      </c>
      <c r="C12" s="434">
        <f>IF(ISNUMBER(Datos!Q12),Datos!Q12," - ")</f>
        <v>139</v>
      </c>
      <c r="D12" s="408">
        <f>IF(ISNUMBER(Datos!R12),Datos!R12," - ")</f>
        <v>1393</v>
      </c>
    </row>
    <row r="13" spans="1:4" ht="14.25" thickTop="1" thickBot="1">
      <c r="A13" s="848" t="str">
        <f>Datos!A13</f>
        <v>TOTAL</v>
      </c>
      <c r="B13" s="849">
        <f>SUBTOTAL(9,B9:B12)</f>
        <v>90</v>
      </c>
      <c r="C13" s="853">
        <f>SUBTOTAL(9,C9:C12)</f>
        <v>141</v>
      </c>
      <c r="D13" s="851">
        <f>SUBTOTAL(9,D9:D12)</f>
        <v>1393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10</v>
      </c>
      <c r="D16" s="408">
        <f>IF(ISNUMBER(Datos!R16),Datos!R16," - ")</f>
        <v>91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10</v>
      </c>
      <c r="D18" s="851">
        <f>SUBTOTAL(9,D15:D17)</f>
        <v>91</v>
      </c>
    </row>
    <row r="19" spans="1:4" ht="16.5" customHeight="1" thickTop="1" thickBot="1">
      <c r="A19" s="793" t="str">
        <f>Datos!A19</f>
        <v>TOTAL JURISDICCIONES</v>
      </c>
      <c r="B19" s="798">
        <f>SUBTOTAL(9,B8:B18)</f>
        <v>97</v>
      </c>
      <c r="C19" s="799">
        <f>SUBTOTAL(9,C8:C18)</f>
        <v>151</v>
      </c>
      <c r="D19" s="800">
        <f>SUBTOTAL(9,D8:D18)</f>
        <v>1484</v>
      </c>
    </row>
    <row r="20" spans="1:4" ht="7.5" customHeight="1"/>
    <row r="21" spans="1:4" ht="6" customHeight="1"/>
    <row r="22" spans="1:4">
      <c r="A22" s="391" t="str">
        <f>Criterios!A4</f>
        <v>Fecha Informe: 03 jun. 2025</v>
      </c>
    </row>
    <row r="27" spans="1:4">
      <c r="A27" s="414"/>
    </row>
  </sheetData>
  <sheetProtection algorithmName="SHA-512" hashValue="9bhCRiLs/YGi25MolZdJTbOYjVUX6GBKoXFDayt6jNtxNzN1lz6ksKsgtP7gsaAc+BQObDJ69bvPFIsEWiS5iw==" saltValue="Ss6Gjv4NlXeJ1xLNiFaDH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AVILA</v>
      </c>
    </row>
    <row r="4" spans="1:11" ht="10.5" customHeight="1" thickBot="1">
      <c r="B4" s="391" t="str">
        <f>Criterios!A11 &amp;"  "&amp;Criterios!B11</f>
        <v>Resumenes por Partidos Judiciales  ARENAS DE SAN PEDRO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0.41666666666666669</v>
      </c>
      <c r="C10" s="456">
        <f>IF(ISNUMBER((Datos!J10-Datos!T10)/Datos!T10),(Datos!J10-Datos!T10)/Datos!T10," - ")</f>
        <v>-0.7142857142857143</v>
      </c>
      <c r="D10" s="456" t="str">
        <f>IF(ISNUMBER((Datos!K10-Datos!U10)/Datos!U10),(Datos!K10-Datos!U10)/Datos!U10," - ")</f>
        <v xml:space="preserve"> - </v>
      </c>
      <c r="E10" s="456">
        <f>IF(ISNUMBER((Datos!L10-Datos!V10)/Datos!V10),(Datos!L10-Datos!V10)/Datos!V10," - ")</f>
        <v>-0.31578947368421051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-3.787878787878788E-2</v>
      </c>
      <c r="C12" s="456">
        <f>IF(ISNUMBER(
   IF(J_V="SI",(Datos!J12-Datos!T12)/Datos!T12,(Datos!J12+Datos!Z12-(Datos!T12+Datos!AH12))/(Datos!T12+Datos!AH12))
     ),IF(J_V="SI",(Datos!J12-Datos!T12)/Datos!T12,(Datos!J12+Datos!Z12-(Datos!T12+Datos!AH12))/(Datos!T12+Datos!AH12))," - ")</f>
        <v>0.73086419753086418</v>
      </c>
      <c r="D12" s="456">
        <f>IF(ISNUMBER(
   IF(J_V="SI",(Datos!K12-Datos!U12)/Datos!U12,(Datos!K12+Datos!AA12-(Datos!U12+Datos!AI12))/(Datos!U12+Datos!AI12))
     ),IF(J_V="SI",(Datos!K12-Datos!U12)/Datos!U12,(Datos!K12+Datos!AA12-(Datos!U12+Datos!AI12))/(Datos!U12+Datos!AI12))," - ")</f>
        <v>-0.15401301518438179</v>
      </c>
      <c r="E12" s="456">
        <f>IF(ISNUMBER(
   IF(J_V="SI",(Datos!L12-Datos!V12)/Datos!V12,(Datos!L12+Datos!AB12-(Datos!V12+Datos!AJ12))/(Datos!V12+Datos!AJ12))
     ),IF(J_V="SI",(Datos!L12-Datos!V12)/Datos!V12,(Datos!L12+Datos!AB12-(Datos!V12+Datos!AJ12))/(Datos!V12+Datos!AJ12))," - ")</f>
        <v>0.4578804347826087</v>
      </c>
      <c r="F12" s="456">
        <f>IF(ISNUMBER((Datos!M12-Datos!W12)/Datos!W12),(Datos!M12-Datos!W12)/Datos!W12," - ")</f>
        <v>0.30136986301369861</v>
      </c>
      <c r="G12" s="457">
        <f>IF(ISNUMBER((Datos!N12-Datos!X12)/Datos!X12),(Datos!N12-Datos!X12)/Datos!X12," - ")</f>
        <v>-0.36842105263157893</v>
      </c>
      <c r="H12" s="455">
        <f>IF(ISNUMBER(((NºAsuntos!G12/NºAsuntos!E12)-Datos!BD12)/Datos!BD12),((NºAsuntos!G12/NºAsuntos!E12)-Datos!BD12)/Datos!BD12," - ")</f>
        <v>-0.51123433830196097</v>
      </c>
      <c r="I12" s="456">
        <f>IF(ISNUMBER(((NºAsuntos!I12/NºAsuntos!G12)-Datos!BE12)/Datos!BE12),((NºAsuntos!I12/NºAsuntos!G12)-Datos!BE12)/Datos!BE12," - ")</f>
        <v>0.723289437012263</v>
      </c>
      <c r="J12" s="461">
        <f>IF(ISNUMBER((('Resol  Asuntos'!D12/NºAsuntos!G12)-Datos!BF12)/Datos!BF12),(('Resol  Asuntos'!D12/NºAsuntos!G12)-Datos!BF12)/Datos!BF12," - ")</f>
        <v>0.47756410256410242</v>
      </c>
      <c r="K12" s="462">
        <f>IF(ISNUMBER((((NºAsuntos!C12+NºAsuntos!E12)/NºAsuntos!G12)-Datos!BG12)/Datos!BG12),(((NºAsuntos!C12+NºAsuntos!E12)/NºAsuntos!G12)-Datos!BG12)/Datos!BG12," - ")</f>
        <v>0.44472934472934467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-3.109452736318408E-2</v>
      </c>
      <c r="C13" s="855">
        <f>IF(ISNUMBER(
   IF(J_V="SI",(Datos!J13-Datos!T13)/Datos!T13,(Datos!J13+Datos!Z13-(Datos!T13+Datos!AH13))/(Datos!T13+Datos!AH13))
     ),IF(J_V="SI",(Datos!J13-Datos!T13)/Datos!T13,(Datos!J13+Datos!Z13-(Datos!T13+Datos!AH13))/(Datos!T13+Datos!AH13))," - ")</f>
        <v>0.7063106796116505</v>
      </c>
      <c r="D13" s="855">
        <f>IF(ISNUMBER(
   IF(J_V="SI",(Datos!K13-Datos!U13)/Datos!U13,(Datos!K13+Datos!AA13-(Datos!U13+Datos!AI13))/(Datos!U13+Datos!AI13))
     ),IF(J_V="SI",(Datos!K13-Datos!U13)/Datos!U13,(Datos!K13+Datos!AA13-(Datos!U13+Datos!AI13))/(Datos!U13+Datos!AI13))," - ")</f>
        <v>-0.14099783080260303</v>
      </c>
      <c r="E13" s="855">
        <f>IF(ISNUMBER(
   IF(J_V="SI",(Datos!L13-Datos!V13)/Datos!V13,(Datos!L13+Datos!AB13-(Datos!V13+Datos!AJ13))/(Datos!V13+Datos!AJ13))
     ),IF(J_V="SI",(Datos!L13-Datos!V13)/Datos!V13,(Datos!L13+Datos!AB13-(Datos!V13+Datos!AJ13))/(Datos!V13+Datos!AJ13))," - ")</f>
        <v>0.43841059602649007</v>
      </c>
      <c r="F13" s="856">
        <f>IF(ISNUMBER((Datos!M13-Datos!W13)/Datos!W13),(Datos!M13-Datos!W13)/Datos!W13," - ")</f>
        <v>0.38356164383561642</v>
      </c>
      <c r="G13" s="857">
        <f>IF(ISNUMBER((Datos!N13-Datos!X13)/Datos!X13),(Datos!N13-Datos!X13)/Datos!X13," - ")</f>
        <v>-0.36842105263157893</v>
      </c>
      <c r="H13" s="857">
        <f>IF(ISNUMBER(((NºAsuntos!G13/NºAsuntos!E13)-Datos!BD13)/Datos!BD13),((NºAsuntos!G13/NºAsuntos!E13)-Datos!BD13)/Datos!BD13," - ")</f>
        <v>-0.49657340866382998</v>
      </c>
      <c r="I13" s="857">
        <f>IF(ISNUMBER(((NºAsuntos!I13/NºAsuntos!G13)-Datos!BE13)/Datos!BE13),((NºAsuntos!I13/NºAsuntos!G13)-Datos!BE13)/Datos!BE13," - ")</f>
        <v>0.67451334537427243</v>
      </c>
      <c r="J13" s="857">
        <f>IF(ISNUMBER((('Resol  Asuntos'!D13/NºAsuntos!G13)-Datos!BF13)/Datos!BF13),(('Resol  Asuntos'!D13/NºAsuntos!G13)-Datos!BF13)/Datos!BF13," - ")</f>
        <v>0.54708266879319489</v>
      </c>
      <c r="K13" s="857">
        <f>IF(ISNUMBER((((NºAsuntos!C13+NºAsuntos!E13)/NºAsuntos!G13)-Datos!BG13)/Datos!BG13),(((NºAsuntos!C13+NºAsuntos!E13)/NºAsuntos!G13)-Datos!BG13)/Datos!BG13," - ")</f>
        <v>0.41879734848484829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0.13317191283292978</v>
      </c>
      <c r="C16" s="456">
        <f>IF(ISNUMBER(
   IF(D_I="SI",(Datos!J16-Datos!T16)/Datos!T16,(Datos!J16+Datos!AD16-(Datos!T16+Datos!AL16))/(Datos!T16+Datos!AL16))
     ),IF(D_I="SI",(Datos!J16-Datos!T16)/Datos!T16,(Datos!J16+Datos!AD16-(Datos!T16+Datos!AL16))/(Datos!T16+Datos!AL16))," - ")</f>
        <v>-5.9561128526645767E-2</v>
      </c>
      <c r="D16" s="456">
        <f>IF(ISNUMBER(
   IF(D_I="SI",(Datos!K16-Datos!U16)/Datos!U16,(Datos!K16+Datos!AE16-(Datos!U16+Datos!AM16))/(Datos!U16+Datos!AM16))
     ),IF(D_I="SI",(Datos!K16-Datos!U16)/Datos!U16,(Datos!K16+Datos!AE16-(Datos!U16+Datos!AM16))/(Datos!U16+Datos!AM16))," - ")</f>
        <v>-0.14955357142857142</v>
      </c>
      <c r="E16" s="456">
        <f>IF(ISNUMBER(
   IF(D_I="SI",(Datos!L16-Datos!V16)/Datos!V16,(Datos!L16+Datos!AF16-(Datos!V16+Datos!AN16))/(Datos!V16+Datos!AN16))
     ),IF(D_I="SI",(Datos!L16-Datos!V16)/Datos!V16,(Datos!L16+Datos!AF16-(Datos!V16+Datos!AN16))/(Datos!V16+Datos!AN16))," - ")</f>
        <v>0.2266857962697274</v>
      </c>
      <c r="F16" s="456">
        <f>IF(ISNUMBER((Datos!M16-Datos!W16)/Datos!W16),(Datos!M16-Datos!W16)/Datos!W16," - ")</f>
        <v>-2.2222222222222223E-2</v>
      </c>
      <c r="G16" s="457">
        <f>IF(ISNUMBER((Datos!N16-Datos!X16)/Datos!X16),(Datos!N16-Datos!X16)/Datos!X16," - ")</f>
        <v>-0.33027522935779818</v>
      </c>
      <c r="H16" s="455">
        <f>IF(ISNUMBER(((NºAsuntos!G16/NºAsuntos!E16)-Datos!BD16)/Datos!BD16),((NºAsuntos!G16/NºAsuntos!E16)-Datos!BD16)/Datos!BD16," - ")</f>
        <v>-9.5691964285714276E-2</v>
      </c>
      <c r="I16" s="456">
        <f>IF(ISNUMBER(((NºAsuntos!I16/NºAsuntos!G16)-Datos!BE16)/Datos!BE16),((NºAsuntos!I16/NºAsuntos!G16)-Datos!BE16)/Datos!BE16," - ")</f>
        <v>0.44240219613868215</v>
      </c>
      <c r="J16" s="461">
        <f>IF(ISNUMBER((('Resol  Asuntos'!D16/NºAsuntos!G16)-Datos!BF16)/Datos!BF16),(('Resol  Asuntos'!D16/NºAsuntos!G16)-Datos!BF16)/Datos!BF16," - ")</f>
        <v>0.1497229512977544</v>
      </c>
      <c r="K16" s="462">
        <f>IF(ISNUMBER((((NºAsuntos!C16+NºAsuntos!E16)/NºAsuntos!G16)-Datos!BG16)/Datos!BG16),(((NºAsuntos!C16+NºAsuntos!E16)/NºAsuntos!G16)-Datos!BG16)/Datos!BG16," - ")</f>
        <v>0.26930509232197497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-0.26618705035971224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-0.23728813559322035</v>
      </c>
      <c r="E17" s="456">
        <f>IF(ISNUMBER(
   IF(D_I="SI",(Datos!L17-Datos!V17)/Datos!V17,(Datos!L17+Datos!AF17-(Datos!V17+Datos!AN17))/(Datos!V17+Datos!AN17))
     ),IF(D_I="SI",(Datos!L17-Datos!V17)/Datos!V17,(Datos!L17+Datos!AF17-(Datos!V17+Datos!AN17))/(Datos!V17+Datos!AN17))," - ")</f>
        <v>-4.3103448275862072E-2</v>
      </c>
      <c r="F17" s="456">
        <f>IF(ISNUMBER((Datos!M17-Datos!W17)/Datos!W17),(Datos!M17-Datos!W17)/Datos!W17," - ")</f>
        <v>1</v>
      </c>
      <c r="G17" s="457">
        <f>IF(ISNUMBER((Datos!N17-Datos!X17)/Datos!X17),(Datos!N17-Datos!X17)/Datos!X17," - ")</f>
        <v>-0.51219512195121952</v>
      </c>
      <c r="H17" s="455">
        <f>IF(ISNUMBER(((NºAsuntos!G17/NºAsuntos!E17)-Datos!BD17)/Datos!BD17),((NºAsuntos!G17/NºAsuntos!E17)-Datos!BD17)/Datos!BD17," - ")</f>
        <v>-0.49152542372881353</v>
      </c>
      <c r="I17" s="456">
        <f>IF(ISNUMBER(((NºAsuntos!I17/NºAsuntos!G17)-Datos!BE17)/Datos!BE17),((NºAsuntos!I17/NºAsuntos!G17)-Datos!BE17)/Datos!BE17," - ")</f>
        <v>0.25459770114942532</v>
      </c>
      <c r="J17" s="461">
        <f>IF(ISNUMBER((('Resol  Asuntos'!D17/NºAsuntos!G17)-Datos!BF17)/Datos!BF17),(('Resol  Asuntos'!D17/NºAsuntos!G17)-Datos!BF17)/Datos!BF17," - ")</f>
        <v>1.6222222222222222</v>
      </c>
      <c r="K17" s="462">
        <f>IF(ISNUMBER((((NºAsuntos!C17+NºAsuntos!E17)/NºAsuntos!G17)-Datos!BG17)/Datos!BG17),(((NºAsuntos!C17+NºAsuntos!E17)/NºAsuntos!G17)-Datos!BG17)/Datos!BG17," - ")</f>
        <v>0.16876190476190478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7.5647668393782383E-2</v>
      </c>
      <c r="C18" s="855">
        <f>IF(ISNUMBER(
   IF(Criterios!B14="SI",(Datos!J18-Datos!T18)/Datos!T18,(Datos!J18+Datos!AD18-(Datos!T18+Datos!AL18))/(Datos!T18+Datos!AL18))
     ),IF(Criterios!B14="SI",(Datos!J18-Datos!T18)/Datos!T18,(Datos!J18+Datos!AD18-(Datos!T18+Datos!AL18))/(Datos!T18+Datos!AL18))," - ")</f>
        <v>-2.8169014084507044E-3</v>
      </c>
      <c r="D18" s="855">
        <f>IF(ISNUMBER(
   IF(Criterios!B14="SI",(Datos!K18-Datos!U18)/Datos!U18,(Datos!K18+Datos!AE18-(Datos!U18+Datos!AM18))/(Datos!U18+Datos!AM18))
     ),IF(Criterios!B14="SI",(Datos!K18-Datos!U18)/Datos!U18,(Datos!K18+Datos!AE18-(Datos!U18+Datos!AM18))/(Datos!U18+Datos!AM18))," - ")</f>
        <v>-0.15976331360946747</v>
      </c>
      <c r="E18" s="855">
        <f>IF(ISNUMBER(
   IF(Criterios!B14="SI",(Datos!L18-Datos!V18)/Datos!V18,(Datos!L18+Datos!AF18-(Datos!V18+Datos!AN18))/(Datos!V18+Datos!AN18))
     ),IF(Criterios!B14="SI",(Datos!L18-Datos!V18)/Datos!V18,(Datos!L18+Datos!AF18-(Datos!V18+Datos!AN18))/(Datos!V18+Datos!AN18))," - ")</f>
        <v>0.18819188191881919</v>
      </c>
      <c r="F18" s="856">
        <f>IF(ISNUMBER((Datos!M18-Datos!W18)/Datos!W18),(Datos!M18-Datos!W18)/Datos!W18," - ")</f>
        <v>0</v>
      </c>
      <c r="G18" s="857">
        <f>IF(ISNUMBER((Datos!N18-Datos!X18)/Datos!X18),(Datos!N18-Datos!X18)/Datos!X18," - ")</f>
        <v>-0.35054347826086957</v>
      </c>
      <c r="H18" s="857">
        <f>IF(ISNUMBER(((NºAsuntos!G18/NºAsuntos!E18)-Datos!BD18)/Datos!BD18),((NºAsuntos!G18/NºAsuntos!E18)-Datos!BD18)/Datos!BD18," - ")</f>
        <v>-0.15738976364791241</v>
      </c>
      <c r="I18" s="857">
        <f>IF(ISNUMBER(((NºAsuntos!I18/NºAsuntos!G18)-Datos!BE18)/Datos!BE18),((NºAsuntos!I18/NºAsuntos!G18)-Datos!BE18)/Datos!BE18," - ")</f>
        <v>0.41411569045267926</v>
      </c>
      <c r="J18" s="857">
        <f>IF(ISNUMBER((('Resol  Asuntos'!D18/NºAsuntos!G18)-Datos!BF18)/Datos!BF18),(('Resol  Asuntos'!D18/NºAsuntos!G18)-Datos!BF18)/Datos!BF18," - ")</f>
        <v>0.1901408450704225</v>
      </c>
      <c r="K18" s="857">
        <f>IF(ISNUMBER((((NºAsuntos!C18+NºAsuntos!E18)/NºAsuntos!G18)-Datos!BG18)/Datos!BG18),(((NºAsuntos!C18+NºAsuntos!E18)/NºAsuntos!G18)-Datos!BG18)/Datos!BG18," - ")</f>
        <v>0.2550576184379002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2.7133973996608253E-2</v>
      </c>
      <c r="C19" s="802">
        <f>IF(ISNUMBER(
   IF(J_V="SI",(Datos!J19-Datos!T19)/Datos!T19,(Datos!J19+Datos!Z19-(Datos!T19+Datos!AH19))/(Datos!T19+Datos!AH19))
     ),IF(J_V="SI",(Datos!J19-Datos!T19)/Datos!T19,(Datos!J19+Datos!Z19-(Datos!T19+Datos!AH19))/(Datos!T19+Datos!AH19))," - ")</f>
        <v>0.37809647979139505</v>
      </c>
      <c r="D19" s="802">
        <f>IF(ISNUMBER(
   IF(J_V="SI",(Datos!K19-Datos!U19)/Datos!U19,(Datos!K19+Datos!AA19-(Datos!U19+Datos!AI19))/(Datos!U19+Datos!AI19))
     ),IF(J_V="SI",(Datos!K19-Datos!U19)/Datos!U19,(Datos!K19+Datos!AA19-(Datos!U19+Datos!AI19))/(Datos!U19+Datos!AI19))," - ")</f>
        <v>-0.15082644628099173</v>
      </c>
      <c r="E19" s="802">
        <f>IF(ISNUMBER(
   IF(J_V="SI",(Datos!L19-Datos!V19)/Datos!V19,(Datos!L19+Datos!AB19-(Datos!V19+Datos!AJ19))/(Datos!V19+Datos!AJ19))
     ),IF(J_V="SI",(Datos!L19-Datos!V19)/Datos!V19,(Datos!L19+Datos!AB19-(Datos!V19+Datos!AJ19))/(Datos!V19+Datos!AJ19))," - ")</f>
        <v>0.30867346938775508</v>
      </c>
      <c r="F19" s="803">
        <f>IF(ISNUMBER((Datos!M19-Datos!W19)/Datos!W19),(Datos!M19-Datos!W19)/Datos!W19," - ")</f>
        <v>0.23529411764705882</v>
      </c>
      <c r="G19" s="804">
        <f>IF(ISNUMBER((Datos!N19-Datos!X19)/Datos!X19),(Datos!N19-Datos!X19)/Datos!X19," - ")</f>
        <v>-0.3536036036036036</v>
      </c>
      <c r="H19" s="805">
        <f>IF(ISNUMBER((Tasas!B19-Datos!BD19)/Datos!BD19),(Tasas!B19-Datos!BD19)/Datos!BD19," - ")</f>
        <v>-0.38380689148299024</v>
      </c>
      <c r="I19" s="806">
        <f>IF(ISNUMBER((Tasas!C19-Datos!BE19)/Datos!BE19),(Tasas!C19-Datos!BE19)/Datos!BE19," - ")</f>
        <v>0.54111425592134665</v>
      </c>
      <c r="J19" s="807">
        <f>IF(ISNUMBER((Tasas!D19-Datos!BF19)/Datos!BF19),(Tasas!D19-Datos!BF19)/Datos!BF19," - ")</f>
        <v>0.4189302381237287</v>
      </c>
      <c r="K19" s="807">
        <f>IF(ISNUMBER((Tasas!E19-Datos!BG19)/Datos!BG19),(Tasas!E19-Datos!BG19)/Datos!BG19," - ")</f>
        <v>0.33456906675263071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qHMNVNOelQh4Ruqd58PYKcjve56++4Jxrfp0QHPeLC5egu5xBy2smwYhmvcJYnghVcGk2ANqtAF1rGb8F25Og==" saltValue="w7PLfaXJlQGNlKZJ77Ou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AVILA</v>
      </c>
    </row>
    <row r="4" spans="1:7" ht="11.25" customHeight="1" thickBot="1">
      <c r="B4" s="391" t="str">
        <f>Criterios!A11 &amp;"  "&amp;Criterios!B11</f>
        <v>Resumenes por Partidos Judiciales  ARENAS DE SAN PEDRO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2.1666666666666665</v>
      </c>
      <c r="D10" s="444">
        <f>IF(ISNUMBER('Resol  Asuntos'!D10/NºAsuntos!G10),'Resol  Asuntos'!D10/NºAsuntos!G10," - ")</f>
        <v>1</v>
      </c>
      <c r="E10" s="445">
        <f>IF(ISNUMBER((NºAsuntos!C10+NºAsuntos!E10)/NºAsuntos!G10),(NºAsuntos!C10+NºAsuntos!E10)/NºAsuntos!G10," - ")</f>
        <v>3.1666666666666665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0.55634807417974319</v>
      </c>
      <c r="C12" s="443">
        <f>IF(ISNUMBER(NºAsuntos!I12/NºAsuntos!G12),NºAsuntos!I12/NºAsuntos!G12," - ")</f>
        <v>2.7512820512820513</v>
      </c>
      <c r="D12" s="444">
        <f>IF(ISNUMBER('Resol  Asuntos'!D12/NºAsuntos!G12),'Resol  Asuntos'!D12/NºAsuntos!G12," - ")</f>
        <v>0.24358974358974358</v>
      </c>
      <c r="E12" s="445">
        <f>IF(ISNUMBER((NºAsuntos!C12+NºAsuntos!E12)/NºAsuntos!G12),(NºAsuntos!C12+NºAsuntos!E12)/NºAsuntos!G12," - ")</f>
        <v>3.7512820512820513</v>
      </c>
      <c r="G12" s="463"/>
    </row>
    <row r="13" spans="1:7" ht="14.25" thickTop="1" thickBot="1">
      <c r="A13" s="848" t="str">
        <f>Datos!A13</f>
        <v>TOTAL</v>
      </c>
      <c r="B13" s="858">
        <f>IF(ISNUMBER(NºAsuntos!G13/NºAsuntos!E13),NºAsuntos!G13/NºAsuntos!E13," - ")</f>
        <v>0.56330014224751068</v>
      </c>
      <c r="C13" s="859">
        <f>IF(ISNUMBER(NºAsuntos!I13/NºAsuntos!G13),NºAsuntos!I13/NºAsuntos!G13," - ")</f>
        <v>2.7424242424242422</v>
      </c>
      <c r="D13" s="860">
        <f>IF(ISNUMBER('Resol  Asuntos'!D13/NºAsuntos!G13),'Resol  Asuntos'!D13/NºAsuntos!G13," - ")</f>
        <v>0.25505050505050503</v>
      </c>
      <c r="E13" s="861">
        <f>IF(ISNUMBER((NºAsuntos!C13+NºAsuntos!E13)/NºAsuntos!G13),(NºAsuntos!C13+NºAsuntos!E13)/NºAsuntos!G13," - ")</f>
        <v>3.7424242424242422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1.27</v>
      </c>
      <c r="C16" s="443">
        <f>IF(ISNUMBER(NºAsuntos!I16/NºAsuntos!G16),NºAsuntos!I16/NºAsuntos!G16," - ")</f>
        <v>2.2440944881889764</v>
      </c>
      <c r="D16" s="444">
        <f>IF(ISNUMBER('Resol  Asuntos'!D16/NºAsuntos!G16),'Resol  Asuntos'!D16/NºAsuntos!G16," - ")</f>
        <v>0.11548556430446194</v>
      </c>
      <c r="E16" s="445">
        <f>IF(ISNUMBER((NºAsuntos!C16+NºAsuntos!E16)/NºAsuntos!G16),(NºAsuntos!C16+NºAsuntos!E16)/NºAsuntos!G16," - ")</f>
        <v>3.2440944881889764</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2.4666666666666668</v>
      </c>
      <c r="D17" s="444">
        <f>IF(ISNUMBER('Resol  Asuntos'!D17/NºAsuntos!G17),'Resol  Asuntos'!D17/NºAsuntos!G17," - ")</f>
        <v>4.4444444444444446E-2</v>
      </c>
      <c r="E17" s="445">
        <f>IF(ISNUMBER((NºAsuntos!C17+NºAsuntos!E17)/NºAsuntos!G17),(NºAsuntos!C17+NºAsuntos!E17)/NºAsuntos!G17," - ")</f>
        <v>3.4666666666666668</v>
      </c>
      <c r="G17" s="463"/>
    </row>
    <row r="18" spans="1:7" ht="14.25" thickTop="1" thickBot="1">
      <c r="A18" s="848" t="str">
        <f>Datos!A18</f>
        <v>TOTAL</v>
      </c>
      <c r="B18" s="858">
        <f>IF(ISNUMBER(NºAsuntos!G18/NºAsuntos!E18),NºAsuntos!G18/NºAsuntos!E18," - ")</f>
        <v>1.2033898305084745</v>
      </c>
      <c r="C18" s="859">
        <f>IF(ISNUMBER(NºAsuntos!I18/NºAsuntos!G18),NºAsuntos!I18/NºAsuntos!G18," - ")</f>
        <v>2.267605633802817</v>
      </c>
      <c r="D18" s="862">
        <f>IF(ISNUMBER('Resol  Asuntos'!D18/NºAsuntos!G18),'Resol  Asuntos'!D18/NºAsuntos!G18," - ")</f>
        <v>0.107981220657277</v>
      </c>
      <c r="E18" s="861">
        <f>IF(ISNUMBER((NºAsuntos!C18+NºAsuntos!E18)/NºAsuntos!G18),(NºAsuntos!C18+NºAsuntos!E18)/NºAsuntos!G18," - ")</f>
        <v>3.267605633802817</v>
      </c>
      <c r="G18" s="463"/>
    </row>
    <row r="19" spans="1:7" ht="15.75" customHeight="1" thickTop="1" thickBot="1">
      <c r="A19" s="793" t="str">
        <f>Datos!A19</f>
        <v>TOTAL JURISDICCIONES</v>
      </c>
      <c r="B19" s="808">
        <f>IF(ISNUMBER(NºAsuntos!G19/NºAsuntos!E19),NºAsuntos!G19/NºAsuntos!E19," - ")</f>
        <v>0.77767265846736044</v>
      </c>
      <c r="C19" s="809">
        <f>IF(ISNUMBER(NºAsuntos!I19/NºAsuntos!G19),NºAsuntos!I19/NºAsuntos!G19," - ")</f>
        <v>2.4963503649635035</v>
      </c>
      <c r="D19" s="810">
        <f>IF(ISNUMBER('Resol  Asuntos'!D19/NºAsuntos!G19),'Resol  Asuntos'!D19/NºAsuntos!G19," - ")</f>
        <v>0.17883211678832117</v>
      </c>
      <c r="E19" s="811">
        <f>IF(ISNUMBER((NºAsuntos!C19+NºAsuntos!E19)/NºAsuntos!G19),(NºAsuntos!C19+NºAsuntos!E19)/NºAsuntos!G19," - ")</f>
        <v>3.4963503649635035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SrXPYAj70hm3weyGwV9o/CRCYtCDyJtIdCFX9uyWWB3Q/qyUaIWp9wW428Wg91F7QD3KxIAMnLP1xPkdMsuow==" saltValue="5AvVq24At+JeA7A1fYYq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AVILA</v>
      </c>
      <c r="N2" s="262" t="str">
        <f>Criterios!A11 &amp;"  "&amp;Criterios!B11</f>
        <v>Resumenes por Partidos Judiciales  ARENAS DE SAN PEDRO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2</v>
      </c>
      <c r="Y10" s="334">
        <f t="shared" ref="Y10:Y12" si="0">SUM(W10:X10)</f>
        <v>8</v>
      </c>
      <c r="Z10" s="335" t="str">
        <f>IF(ISNUMBER(Datos!CC10),Datos!CC10," - ")</f>
        <v xml:space="preserve"> - </v>
      </c>
      <c r="AA10" s="332">
        <f>IF(ISNUMBER(Datos!L10),Datos!L10,"-")</f>
        <v>13</v>
      </c>
      <c r="AB10" s="334">
        <f>IF(ISNUMBER(Datos!R10),Datos!R10," - ")</f>
        <v>0</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6.5</v>
      </c>
      <c r="AN10" s="244">
        <f>IF(ISNUMBER('Resol  Asuntos'!D10/NºAsuntos!G10),'Resol  Asuntos'!D10/NºAsuntos!G10," - ")</f>
        <v>1</v>
      </c>
      <c r="AO10" s="245">
        <f>IF(ISNUMBER((NºAsuntos!C10+NºAsuntos!E10)/NºAsuntos!G10),(NºAsuntos!C10+NºAsuntos!E10)/NºAsuntos!G10," - ")</f>
        <v>3.1666666666666665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139</v>
      </c>
      <c r="Y12" s="334">
        <f t="shared" si="0"/>
        <v>139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0.55634807417974319</v>
      </c>
      <c r="AM12" s="260">
        <f>IF(ISNUMBER(((NºAsuntos!I12/NºAsuntos!G12)*11)/factor_trimestre),((NºAsuntos!I12/NºAsuntos!G12)*11)/factor_trimestre," - ")</f>
        <v>8.2538461538461547</v>
      </c>
      <c r="AN12" s="244">
        <f>IF(ISNUMBER('Resol  Asuntos'!D12/NºAsuntos!G12),'Resol  Asuntos'!D12/NºAsuntos!G12," - ")</f>
        <v>0.24358974358974358</v>
      </c>
      <c r="AO12" s="245">
        <f>IF(ISNUMBER((NºAsuntos!C12+NºAsuntos!E12)/NºAsuntos!G12),(NºAsuntos!C12+NºAsuntos!E12)/NºAsuntos!G12," - ")</f>
        <v>3.7512820512820513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141</v>
      </c>
      <c r="Y13" s="868">
        <f t="shared" si="4"/>
        <v>147</v>
      </c>
      <c r="Z13" s="868">
        <f t="shared" si="4"/>
        <v>0</v>
      </c>
      <c r="AA13" s="868">
        <f t="shared" si="4"/>
        <v>13</v>
      </c>
      <c r="AB13" s="868">
        <f t="shared" si="4"/>
        <v>1393</v>
      </c>
      <c r="AC13" s="868">
        <f t="shared" si="4"/>
        <v>13</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0.56330014224751068</v>
      </c>
      <c r="AM13" s="874">
        <f>IF(ISNUMBER(((NºAsuntos!I13/NºAsuntos!G13)*11)/factor_trimestre),((NºAsuntos!I13/NºAsuntos!G13)*11)/factor_trimestre," - ")</f>
        <v>8.2272727272727266</v>
      </c>
      <c r="AN13" s="875">
        <f>IF(ISNUMBER('Resol  Asuntos'!D13/NºAsuntos!G13),'Resol  Asuntos'!D13/NºAsuntos!G13," - ")</f>
        <v>0.25505050505050503</v>
      </c>
      <c r="AO13" s="876">
        <f>IF(ISNUMBER((NºAsuntos!C13+NºAsuntos!E13)/NºAsuntos!G13),(NºAsuntos!C13+NºAsuntos!E13)/NºAsuntos!G13," - ")</f>
        <v>3.7424242424242422</v>
      </c>
      <c r="AP13" s="877" t="str">
        <f t="shared" si="2"/>
        <v xml:space="preserve"> - </v>
      </c>
      <c r="AQ13" s="877">
        <f>IF(ISNUMBER((H13-W13+K13)/(F13)),(H13-W13+K13)/(F13)," - ")</f>
        <v>-0.35294117647058826</v>
      </c>
      <c r="AR13" s="878">
        <f>IF(ISNUMBER((Datos!P13-Datos!Q13)/(Datos!R13-Datos!P13+Datos!Q13)),(Datos!P13-Datos!Q13)/(Datos!R13-Datos!P13+Datos!Q13)," - ")</f>
        <v>-3.5318559556786706E-2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936</v>
      </c>
      <c r="G16" s="333">
        <f>IF(ISNUMBER(IF(D_I="SI",Datos!I16,Datos!I16+Datos!AC16)),IF(D_I="SI",Datos!I16,Datos!I16+Datos!AC16)," - ")</f>
        <v>936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381</v>
      </c>
      <c r="X16" s="226">
        <f>IF(ISNUMBER(Datos!Q16),Datos!Q16," - ")</f>
        <v>10</v>
      </c>
      <c r="Y16" s="334">
        <f t="shared" ref="Y16:Y17" si="7">SUM(W16:X16)</f>
        <v>391</v>
      </c>
      <c r="Z16" s="335" t="str">
        <f>IF(ISNUMBER(Datos!CC16),Datos!CC16," - ")</f>
        <v xml:space="preserve"> - </v>
      </c>
      <c r="AA16" s="332">
        <f>IF(ISNUMBER(IF(D_I="SI",Datos!L16,Datos!L16+Datos!AF16)),IF(D_I="SI",Datos!L16,Datos!L16+Datos!AF16)," - ")</f>
        <v>855</v>
      </c>
      <c r="AB16" s="334">
        <f>IF(ISNUMBER(Datos!R16),Datos!R16," - ")</f>
        <v>91</v>
      </c>
      <c r="AC16" s="334">
        <f t="shared" si="6"/>
        <v>946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1.27</v>
      </c>
      <c r="AM16" s="260">
        <f>IF(ISNUMBER(((NºAsuntos!I16/NºAsuntos!G16)*11)/factor_trimestre),((NºAsuntos!I16/NºAsuntos!G16)*11)/factor_trimestre," - ")</f>
        <v>6.7322834645669296</v>
      </c>
      <c r="AN16" s="244">
        <f>IF(ISNUMBER('Resol  Asuntos'!D16/NºAsuntos!G16),'Resol  Asuntos'!D16/NºAsuntos!G16," - ")</f>
        <v>0.11548556430446194</v>
      </c>
      <c r="AO16" s="245">
        <f>IF(ISNUMBER((NºAsuntos!C16+NºAsuntos!E16)/NºAsuntos!G16),(NºAsuntos!C16+NºAsuntos!E16)/NºAsuntos!G16," - ")</f>
        <v>3.2440944881889764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102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111</v>
      </c>
      <c r="AB17" s="334">
        <f>IF(ISNUMBER(Datos!R17),Datos!R17," - ")</f>
        <v>0</v>
      </c>
      <c r="AC17" s="334">
        <f t="shared" si="6"/>
        <v>111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7.4</v>
      </c>
      <c r="AN17" s="244">
        <f>IF(ISNUMBER('Resol  Asuntos'!D17/NºAsuntos!G17),'Resol  Asuntos'!D17/NºAsuntos!G17," - ")</f>
        <v>4.4444444444444446E-2</v>
      </c>
      <c r="AO17" s="245">
        <f>IF(ISNUMBER((NºAsuntos!C17+NºAsuntos!E17)/NºAsuntos!G17),(NºAsuntos!C17+NºAsuntos!E17)/NºAsuntos!G17," - ")</f>
        <v>3.4666666666666668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936</v>
      </c>
      <c r="G18" s="866">
        <f>SUBTOTAL(9,G15:G17)</f>
        <v>1038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426</v>
      </c>
      <c r="X18" s="867">
        <f t="shared" si="11"/>
        <v>10</v>
      </c>
      <c r="Y18" s="868">
        <f t="shared" si="11"/>
        <v>436</v>
      </c>
      <c r="Z18" s="868">
        <f t="shared" si="11"/>
        <v>0</v>
      </c>
      <c r="AA18" s="868">
        <f t="shared" si="11"/>
        <v>966</v>
      </c>
      <c r="AB18" s="868">
        <f t="shared" si="11"/>
        <v>91</v>
      </c>
      <c r="AC18" s="868">
        <f t="shared" si="11"/>
        <v>1057</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1.2033898305084745</v>
      </c>
      <c r="AM18" s="874">
        <f>IF(ISNUMBER(((NºAsuntos!I18/NºAsuntos!G18)*11)/factor_trimestre),((NºAsuntos!I18/NºAsuntos!G18)*11)/factor_trimestre," - ")</f>
        <v>6.8028169014084519</v>
      </c>
      <c r="AN18" s="875">
        <f>IF(ISNUMBER('Resol  Asuntos'!D18/NºAsuntos!G18),'Resol  Asuntos'!D18/NºAsuntos!G18," - ")</f>
        <v>0.107981220657277</v>
      </c>
      <c r="AO18" s="876">
        <f>IF(ISNUMBER((NºAsuntos!C18+NºAsuntos!E18)/NºAsuntos!G18),(NºAsuntos!C18+NºAsuntos!E18)/NºAsuntos!G18," - ")</f>
        <v>3.267605633802817</v>
      </c>
      <c r="AP18" s="877" t="str">
        <f t="shared" si="2"/>
        <v xml:space="preserve"> - </v>
      </c>
      <c r="AQ18" s="877">
        <f>IF(ISNUMBER((H18-W18+K18)/(F18)),(H18-W18+K18)/(F18)," - ")</f>
        <v>-0.45512820512820512</v>
      </c>
      <c r="AR18" s="878">
        <f>IF(ISNUMBER((Datos!P18-Datos!Q18)/(Datos!R18-Datos!P18+Datos!Q18)),(Datos!P18-Datos!Q18)/(Datos!R18-Datos!P18+Datos!Q18)," - ")</f>
        <v>-3.1914893617021274E-2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953</v>
      </c>
      <c r="G19" s="821">
        <f t="shared" si="13"/>
        <v>1055</v>
      </c>
      <c r="H19" s="820">
        <f t="shared" si="13"/>
        <v>0</v>
      </c>
      <c r="I19" s="822">
        <f t="shared" si="13"/>
        <v>0</v>
      </c>
      <c r="J19" s="822">
        <f t="shared" si="13"/>
        <v>0</v>
      </c>
      <c r="K19" s="881">
        <f t="shared" si="13"/>
        <v>0</v>
      </c>
      <c r="L19" s="822">
        <f t="shared" si="13"/>
        <v>97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432</v>
      </c>
      <c r="X19" s="821">
        <f t="shared" si="14"/>
        <v>151</v>
      </c>
      <c r="Y19" s="828">
        <f t="shared" si="14"/>
        <v>583</v>
      </c>
      <c r="Z19" s="828">
        <f t="shared" si="14"/>
        <v>0</v>
      </c>
      <c r="AA19" s="828">
        <f t="shared" si="14"/>
        <v>979</v>
      </c>
      <c r="AB19" s="828">
        <f t="shared" si="14"/>
        <v>1484</v>
      </c>
      <c r="AC19" s="828">
        <f t="shared" si="14"/>
        <v>1070</v>
      </c>
      <c r="AD19" s="828">
        <f t="shared" si="14"/>
        <v>0</v>
      </c>
      <c r="AE19" s="830">
        <f t="shared" si="14"/>
        <v>0</v>
      </c>
      <c r="AF19" s="831">
        <f t="shared" si="14"/>
        <v>0</v>
      </c>
      <c r="AG19" s="832">
        <f t="shared" si="14"/>
        <v>0</v>
      </c>
      <c r="AH19" s="830">
        <f t="shared" si="14"/>
        <v>0</v>
      </c>
      <c r="AI19" s="820">
        <f t="shared" si="14"/>
        <v>147</v>
      </c>
      <c r="AJ19" s="820">
        <f t="shared" si="14"/>
        <v>0</v>
      </c>
      <c r="AK19" s="830">
        <f t="shared" si="14"/>
        <v>0</v>
      </c>
      <c r="AL19" s="884">
        <f>IF(ISNUMBER(NºAsuntos!G19/NºAsuntos!E19),NºAsuntos!G19/NºAsuntos!E19," - ")</f>
        <v>0.77767265846736044</v>
      </c>
      <c r="AM19" s="885">
        <f>IF(ISNUMBER(((NºAsuntos!I19/NºAsuntos!G19)*11)/factor_trimestre),((NºAsuntos!I19/NºAsuntos!G19)*11)/factor_trimestre," - ")</f>
        <v>7.4890510948905105</v>
      </c>
      <c r="AN19" s="885">
        <f>IF(ISNUMBER('Resol  Asuntos'!D19/NºAsuntos!G19),'Resol  Asuntos'!D19/NºAsuntos!G19," - ")</f>
        <v>0.17883211678832117</v>
      </c>
      <c r="AO19" s="886">
        <f>IF(ISNUMBER((NºAsuntos!C19+NºAsuntos!E19)/NºAsuntos!G19),(NºAsuntos!C19+NºAsuntos!E19)/NºAsuntos!G19," - ")</f>
        <v>3.4963503649635035</v>
      </c>
      <c r="AP19" s="887" t="str">
        <f t="shared" si="2"/>
        <v xml:space="preserve"> - </v>
      </c>
      <c r="AQ19" s="888">
        <f>IF(OR(ISNUMBER(FIND("01",Criterios!A8,1)),ISNUMBER(FIND("02",Criterios!A8,1)),ISNUMBER(FIND("03",Criterios!A8,1)),ISNUMBER(FIND("04",Criterios!A8,1))),(I19-W19+K19)/(F19-K19),(H19-W19+K19)/(F19-K19))</f>
        <v>-0.45330535152151102</v>
      </c>
      <c r="AR19" s="889">
        <f>IF(ISNUMBER((Datos!P19-Datos!Q19)/(Datos!R19-Datos!P19+Datos!Q19)),(Datos!P19-Datos!Q19)/(Datos!R19-Datos!P19+Datos!Q19)," - ")</f>
        <v>-3.5110533159947985E-2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530.584897385266</v>
      </c>
      <c r="G21" s="253">
        <f>IF(ISNUMBER(STDEV(G8:G18)),STDEV(G8:G18),"-")</f>
        <v>518.19446156824176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211.79872520862818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42.218479366268035</v>
      </c>
      <c r="AJ21" s="252">
        <f t="shared" si="18"/>
        <v>0</v>
      </c>
      <c r="AK21" s="254">
        <f t="shared" si="18"/>
        <v>0</v>
      </c>
      <c r="AL21" s="249">
        <f t="shared" si="18"/>
        <v>0.91547690073556731</v>
      </c>
      <c r="AM21" s="250">
        <f t="shared" si="18"/>
        <v>0.77290350521233864</v>
      </c>
      <c r="AN21" s="250">
        <f t="shared" si="18"/>
        <v>0.35531437838341418</v>
      </c>
      <c r="AO21" s="251">
        <f t="shared" si="18"/>
        <v>0.25763450173744623</v>
      </c>
      <c r="AP21" s="291" t="str">
        <f t="shared" si="18"/>
        <v>-</v>
      </c>
      <c r="AQ21" s="292">
        <f t="shared" si="18"/>
        <v>7.2257140913105145E-2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rFnbsKnXOZEhSFk52wzJrB7cn+sXfHAQ0hHb9yotrsG7/Jvj3WpUVeq9u7lcT7hxkG1iLkWyT64uFIhSreGMDQ==" saltValue="FaQCYLeCz5tVtWZSlHCq4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AVILA</v>
      </c>
      <c r="E3" s="263"/>
    </row>
    <row r="4" spans="2:20" ht="17.25" customHeight="1" thickBot="1">
      <c r="D4" s="262" t="str">
        <f>Criterios!A11 &amp;"  "&amp;Criterios!B11</f>
        <v>Resumenes por Partidos Judiciales  ARENAS DE SAN PEDRO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0.41666666666666669</v>
      </c>
      <c r="E10" s="348">
        <f>IF(ISNUMBER((Datos!J10-Datos!T10)/Datos!T10),(Datos!J10-Datos!T10)/Datos!T10," - ")</f>
        <v>-0.7142857142857143</v>
      </c>
      <c r="F10" s="348" t="str">
        <f>IF(ISNUMBER((Datos!K10-Datos!U10)/Datos!U10),(Datos!K10-Datos!U10)/Datos!U10," - ")</f>
        <v xml:space="preserve"> - </v>
      </c>
      <c r="G10" s="349">
        <f>IF(ISNUMBER((Datos!L10-Datos!V10)/Datos!V10),(Datos!L10-Datos!V10)/Datos!V10," - ")</f>
        <v>-0.31578947368421051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0.30136986301369861</v>
      </c>
      <c r="I12" s="350">
        <f>IF(ISNUMBER((Tasas!C12-Datos!BE12)/Datos!BE12),(Tasas!C12-Datos!BE12)/Datos!BE12," - ")</f>
        <v>0.723289437012263</v>
      </c>
      <c r="J12" s="349">
        <f>IF(ISNUMBER((Tasas!D12-Datos!BF12)/Datos!BF12),(Tasas!D12-Datos!BF12)/Datos!BF12," - ")</f>
        <v>0.47756410256410242</v>
      </c>
      <c r="K12" s="351">
        <f>IF(ISNUMBER((Tasas!E12-Datos!BG12)/Datos!BG12),(Tasas!E12-Datos!BG12)/Datos!BG12," - ")</f>
        <v>0.44472934472934467</v>
      </c>
      <c r="M12" t="e">
        <f>IF(Monitorios="SI",Datos!CE12,0)</f>
        <v>#REF!</v>
      </c>
      <c r="N12" t="e">
        <f>IF(Monitorios="SI",Datos!CF12,0)</f>
        <v>#REF!</v>
      </c>
      <c r="O12" t="e">
        <f>IF(Monitorios="SI",Datos!CG12,0)</f>
        <v>#REF!</v>
      </c>
      <c r="P12" t="e">
        <f>IF(Monitorios="SI",Datos!CH12,0)</f>
        <v>#REF!</v>
      </c>
      <c r="Q12">
        <f>IF(J_V="SI",0,Datos!AG12)</f>
        <v>25</v>
      </c>
      <c r="R12">
        <f>IF(J_V="SI",0,Datos!AH12)</f>
        <v>7</v>
      </c>
      <c r="S12">
        <f>IF(J_V="SI",0,Datos!AI12)</f>
        <v>14</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0.38356164383561642</v>
      </c>
      <c r="I13" s="357">
        <f>IF(ISNUMBER((Tasas!C13-Datos!BE13)/Datos!BE13),(Tasas!C13-Datos!BE13)/Datos!BE13," - ")</f>
        <v>0.67451334537427243</v>
      </c>
      <c r="J13" s="355">
        <f>IF(ISNUMBER((Tasas!D13-Datos!BF13)/Datos!BF13),(Tasas!D13-Datos!BF13)/Datos!BF13," - ")</f>
        <v>0.54708266879319489</v>
      </c>
      <c r="K13" s="358">
        <f>IF(ISNUMBER((Tasas!E13-Datos!BG13)/Datos!BG13),(Tasas!E13-Datos!BG13)/Datos!BG13," - ")</f>
        <v>0.41879734848484829</v>
      </c>
      <c r="M13" t="e">
        <f>IF(Monitorios="SI",Datos!CE13,0)</f>
        <v>#REF!</v>
      </c>
      <c r="N13" t="e">
        <f>IF(Monitorios="SI",Datos!CF13,0)</f>
        <v>#REF!</v>
      </c>
      <c r="O13" t="e">
        <f>IF(Monitorios="SI",Datos!CG13,0)</f>
        <v>#REF!</v>
      </c>
      <c r="P13" t="e">
        <f>IF(Monitorios="SI",Datos!CH13,0)</f>
        <v>#REF!</v>
      </c>
      <c r="Q13">
        <f>IF(J_V="SI",0,Datos!AG13)</f>
        <v>25</v>
      </c>
      <c r="R13">
        <f>IF(J_V="SI",0,Datos!AH13)</f>
        <v>7</v>
      </c>
      <c r="S13">
        <f>IF(J_V="SI",0,Datos!AI13)</f>
        <v>14</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0.13317191283292978</v>
      </c>
      <c r="E16" s="348">
        <f>IF(ISNUMBER(
   IF(D_I="SI",(Datos!J16-Datos!T16)/Datos!T16,(Datos!J16+Datos!AD16-(Datos!T16+Datos!AL16))/(Datos!T16+Datos!AL16))
     ),IF(D_I="SI",(Datos!J16-Datos!T16)/Datos!T16,(Datos!J16+Datos!AD16-(Datos!T16+Datos!AL16))/(Datos!T16+Datos!AL16))," - ")</f>
        <v>-5.9561128526645767E-2</v>
      </c>
      <c r="F16" s="348">
        <f>IF(ISNUMBER(
   IF(D_I="SI",(Datos!K16-Datos!U16)/Datos!U16,(Datos!K16+Datos!AE16-(Datos!U16+Datos!AM16))/(Datos!U16+Datos!AM16))
     ),IF(D_I="SI",(Datos!K16-Datos!U16)/Datos!U16,(Datos!K16+Datos!AE16-(Datos!U16+Datos!AM16))/(Datos!U16+Datos!AM16))," - ")</f>
        <v>-0.14955357142857142</v>
      </c>
      <c r="G16" s="349">
        <f>IF(ISNUMBER(
   IF(D_I="SI",(Datos!L16-Datos!V16)/Datos!V16,(Datos!L16+Datos!AF16-(Datos!V16+Datos!AN16))/(Datos!V16+Datos!AN16))
     ),IF(D_I="SI",(Datos!L16-Datos!V16)/Datos!V16,(Datos!L16+Datos!AF16-(Datos!V16+Datos!AN16))/(Datos!V16+Datos!AN16))," - ")</f>
        <v>0.2266857962697274</v>
      </c>
      <c r="H16" s="230">
        <f>IF(ISNUMBER((Datos!M16-Datos!W16)/Datos!W16),(Datos!M16-Datos!W16)/Datos!W16," - ")</f>
        <v>-2.2222222222222223E-2</v>
      </c>
      <c r="I16" s="350">
        <f>IF(ISNUMBER((Tasas!C16-Datos!BE16)/Datos!BE16),(Tasas!C16-Datos!BE16)/Datos!BE16," - ")</f>
        <v>0.44240219613868215</v>
      </c>
      <c r="J16" s="349">
        <f>IF(ISNUMBER((Tasas!D16-Datos!BF16)/Datos!BF16),(Tasas!D16-Datos!BF16)/Datos!BF16," - ")</f>
        <v>0.1497229512977544</v>
      </c>
      <c r="K16" s="351">
        <f>IF(ISNUMBER((Tasas!E16-Datos!BG16)/Datos!BG16),(Tasas!E16-Datos!BG16)/Datos!BG16," - ")</f>
        <v>0.26930509232197497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-0.26618705035971224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-0.23728813559322035</v>
      </c>
      <c r="G17" s="349">
        <f>IF(ISNUMBER(
   IF(D_I="SI",(Datos!L17-Datos!V17)/Datos!V17,(Datos!L17+Datos!AF17-(Datos!V17+Datos!AN17))/(Datos!V17+Datos!AN17))
     ),IF(D_I="SI",(Datos!L17-Datos!V17)/Datos!V17,(Datos!L17+Datos!AF17-(Datos!V17+Datos!AN17))/(Datos!V17+Datos!AN17))," - ")</f>
        <v>-4.3103448275862072E-2</v>
      </c>
      <c r="H17" s="230">
        <f>IF(ISNUMBER((Datos!M17-Datos!W17)/Datos!W17),(Datos!M17-Datos!W17)/Datos!W17," - ")</f>
        <v>1</v>
      </c>
      <c r="I17" s="350">
        <f>IF(ISNUMBER((Tasas!C17-Datos!BE17)/Datos!BE17),(Tasas!C17-Datos!BE17)/Datos!BE17," - ")</f>
        <v>0.25459770114942532</v>
      </c>
      <c r="J17" s="349">
        <f>IF(ISNUMBER((Tasas!D17-Datos!BF17)/Datos!BF17),(Tasas!D17-Datos!BF17)/Datos!BF17," - ")</f>
        <v>1.6222222222222222</v>
      </c>
      <c r="K17" s="351">
        <f>IF(ISNUMBER((Tasas!E17-Datos!BG17)/Datos!BG17),(Tasas!E17-Datos!BG17)/Datos!BG17," - ")</f>
        <v>0.16876190476190478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7.5647668393782383E-2</v>
      </c>
      <c r="E18" s="354">
        <f>IF(ISNUMBER(
   IF(D_I="SI",(Datos!J18-Datos!T18)/Datos!T18,(Datos!J18+Datos!AD18-(Datos!T18+Datos!AL18))/(Datos!T18+Datos!AL18))
     ),IF(D_I="SI",(Datos!J18-Datos!T18)/Datos!T18,(Datos!J18+Datos!AD18-(Datos!T18+Datos!AL18))/(Datos!T18+Datos!AL18))," - ")</f>
        <v>-2.8169014084507044E-3</v>
      </c>
      <c r="F18" s="354">
        <f>IF(ISNUMBER(
   IF(D_I="SI",(Datos!K18-Datos!U18)/Datos!U18,(Datos!K18+Datos!AE18-(Datos!U18+Datos!AM18))/(Datos!U18+Datos!AM18))
     ),IF(D_I="SI",(Datos!K18-Datos!U18)/Datos!U18,(Datos!K18+Datos!AE18-(Datos!U18+Datos!AM18))/(Datos!U18+Datos!AM18))," - ")</f>
        <v>-0.15976331360946747</v>
      </c>
      <c r="G18" s="355">
        <f>IF(ISNUMBER(
   IF(D_I="SI",(Datos!L18-Datos!V18)/Datos!V18,(Datos!L18+Datos!AF18-(Datos!V18+Datos!AN18))/(Datos!V18+Datos!AN18))
     ),IF(D_I="SI",(Datos!L18-Datos!V18)/Datos!V18,(Datos!L18+Datos!AF18-(Datos!V18+Datos!AN18))/(Datos!V18+Datos!AN18))," - ")</f>
        <v>0.18819188191881919</v>
      </c>
      <c r="H18" s="356">
        <f>IF(ISNUMBER((Datos!M18-Datos!W18)/Datos!W18),(Datos!M18-Datos!W18)/Datos!W18," - ")</f>
        <v>0</v>
      </c>
      <c r="I18" s="357">
        <f>IF(ISNUMBER((Tasas!C18-Datos!BE18)/Datos!BE18),(Tasas!C18-Datos!BE18)/Datos!BE18," - ")</f>
        <v>0.41411569045267926</v>
      </c>
      <c r="J18" s="355">
        <f>IF(ISNUMBER((Tasas!D18-Datos!BF18)/Datos!BF18),(Tasas!D18-Datos!BF18)/Datos!BF18," - ")</f>
        <v>0.1901408450704225</v>
      </c>
      <c r="K18" s="358">
        <f>IF(ISNUMBER((Tasas!E18-Datos!BG18)/Datos!BG18),(Tasas!E18-Datos!BG18)/Datos!BG18," - ")</f>
        <v>0.2550576184379002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2.7133973996608253E-2</v>
      </c>
      <c r="E19" s="363">
        <f>IF(ISNUMBER(
   IF(J_V="SI",(Datos!J19-Datos!T19)/Datos!T19,(Datos!J19+Datos!Z19-(Datos!T19+Datos!AH19))/(Datos!T19+Datos!AH19))
     ),IF(J_V="SI",(Datos!J19-Datos!T19)/Datos!T19,(Datos!J19+Datos!Z19-(Datos!T19+Datos!AH19))/(Datos!T19+Datos!AH19))," - ")</f>
        <v>0.37809647979139505</v>
      </c>
      <c r="F19" s="363">
        <f>IF(ISNUMBER(
   IF(J_V="SI",(Datos!K19-Datos!U19)/Datos!U19,(Datos!K19+Datos!AA19-(Datos!U19+Datos!AI19))/(Datos!U19+Datos!AI19))
     ),IF(J_V="SI",(Datos!K19-Datos!U19)/Datos!U19,(Datos!K19+Datos!AA19-(Datos!U19+Datos!AI19))/(Datos!U19+Datos!AI19))," - ")</f>
        <v>-0.15082644628099173</v>
      </c>
      <c r="G19" s="364">
        <f>IF(ISNUMBER(
   IF(J_V="SI",(Datos!L19-Datos!V19)/Datos!V19,(Datos!L19+Datos!AB19-(Datos!V19+Datos!AJ19))/(Datos!V19+Datos!AJ19))
     ),IF(J_V="SI",(Datos!L19-Datos!V19)/Datos!V19,(Datos!L19+Datos!AB19-(Datos!V19+Datos!AJ19))/(Datos!V19+Datos!AJ19))," - ")</f>
        <v>0.30867346938775508</v>
      </c>
      <c r="H19" s="365">
        <f>IF(ISNUMBER((Datos!M19-Datos!W19)/Datos!W19),(Datos!M19-Datos!W19)/Datos!W19," - ")</f>
        <v>0.23529411764705882</v>
      </c>
      <c r="I19" s="362">
        <f>IF(ISNUMBER((Tasas!C19-Datos!BE19)/Datos!BE19),(Tasas!C19-Datos!BE19)/Datos!BE19," - ")</f>
        <v>0.54111425592134665</v>
      </c>
      <c r="J19" s="363">
        <f>IF(ISNUMBER((Tasas!D19-Datos!BF19)/Datos!BF19),(Tasas!D19-Datos!BF19)/Datos!BF19," - ")</f>
        <v>0.4189302381237287</v>
      </c>
      <c r="K19" s="364">
        <f>IF(ISNUMBER((Tasas!E19-Datos!BG19)/Datos!BG19),(Tasas!E19-Datos!BG19)/Datos!BG19," - ")</f>
        <v>0.33456906675263071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0.28026773310189673</v>
      </c>
      <c r="E21" s="278">
        <f t="shared" si="1"/>
        <v>0.49820472289879525</v>
      </c>
      <c r="F21" s="278">
        <f t="shared" si="1"/>
        <v>4.797862476869915E-2</v>
      </c>
      <c r="G21" s="279">
        <f t="shared" si="1"/>
        <v>0.25006663136126828</v>
      </c>
      <c r="H21" s="285">
        <f t="shared" si="1"/>
        <v>0.41397968642139976</v>
      </c>
      <c r="I21" s="277">
        <f t="shared" si="1"/>
        <v>0.19443063213331491</v>
      </c>
      <c r="J21" s="278">
        <f t="shared" si="1"/>
        <v>0.59862922753215964</v>
      </c>
      <c r="K21" s="279">
        <f t="shared" si="1"/>
        <v>0.11683637247885958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PHZMXr7Oa+0nHfockXvJX2QC2iaLKNqjqPLQmYY3O2bRNDXGcfobPwIQF8pxNfvJaerVvYDxADp93aZ3r8kSg==" saltValue="Euqop5WC+MF+moQOJhqPB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2025-06-03T19:30:11Z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